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325" activeTab="0"/>
  </bookViews>
  <sheets>
    <sheet name="zoznam hracov" sheetId="1" r:id="rId1"/>
    <sheet name="BC1" sheetId="2" r:id="rId2"/>
    <sheet name="BC2" sheetId="3" r:id="rId3"/>
    <sheet name="BC2 pavuk" sheetId="4" r:id="rId4"/>
    <sheet name="BC3" sheetId="5" r:id="rId5"/>
    <sheet name="BC3 pavuk" sheetId="6" r:id="rId6"/>
    <sheet name="BC4" sheetId="7" r:id="rId7"/>
    <sheet name="BC4 pavuk" sheetId="8" r:id="rId8"/>
    <sheet name="rozpis zapasov" sheetId="9" r:id="rId9"/>
  </sheets>
  <externalReferences>
    <externalReference r:id="rId12"/>
  </externalReferences>
  <definedNames>
    <definedName name="_xlnm.Print_Area" localSheetId="3">'BC2 pavuk'!$B$3:$BM$88</definedName>
    <definedName name="_xlnm.Print_Area" localSheetId="5">'BC3 pavuk'!$B$3:$BM$88</definedName>
    <definedName name="_xlnm.Print_Area" localSheetId="7">'BC4 pavuk'!$B$3:$BM$88</definedName>
    <definedName name="_xlnm.Print_Area" localSheetId="8">'rozpis zapasov'!$A$1:$H$39</definedName>
    <definedName name="Posice">'[1]ZOZNAM'!$G$5:$G$41</definedName>
    <definedName name="Rank">'[1]ZOZNAM'!$B$5:$G$41</definedName>
  </definedNames>
  <calcPr fullCalcOnLoad="1"/>
</workbook>
</file>

<file path=xl/sharedStrings.xml><?xml version="1.0" encoding="utf-8"?>
<sst xmlns="http://schemas.openxmlformats.org/spreadsheetml/2006/main" count="417" uniqueCount="139">
  <si>
    <t>Počet výhier</t>
  </si>
  <si>
    <t>Skóre</t>
  </si>
  <si>
    <t>Poradie</t>
  </si>
  <si>
    <t>Počet odohratých zápasov</t>
  </si>
  <si>
    <t>Koeficient K1 (podľa počtu víťazstiev)</t>
  </si>
  <si>
    <t>Koeficient K2 (podľa skóre)</t>
  </si>
  <si>
    <t>Koeficient K3 (podľa získaných bodov)</t>
  </si>
  <si>
    <t>Názov turnaja:</t>
  </si>
  <si>
    <t>Dátum:</t>
  </si>
  <si>
    <t>Kategória:</t>
  </si>
  <si>
    <t>Organizátor:</t>
  </si>
  <si>
    <t>Počet prihlásených hráčov:</t>
  </si>
  <si>
    <t>Počet zúčastnených hráčov:</t>
  </si>
  <si>
    <t>Miesto konania turnaja:</t>
  </si>
  <si>
    <t xml:space="preserve"> ZOM Prešov</t>
  </si>
  <si>
    <t>BC 4</t>
  </si>
  <si>
    <t>Alexandra Wellness hotel Liptovský Ján</t>
  </si>
  <si>
    <t>Lukáš Baláži</t>
  </si>
  <si>
    <t>Jakub Nagy</t>
  </si>
  <si>
    <t>Alexander Chudík</t>
  </si>
  <si>
    <t>Martin Benčat</t>
  </si>
  <si>
    <t>rem.</t>
  </si>
  <si>
    <t>BC1</t>
  </si>
  <si>
    <t>BC2</t>
  </si>
  <si>
    <t>BC 2</t>
  </si>
  <si>
    <t>Rastislav Kurilák</t>
  </si>
  <si>
    <t>Peter Novota</t>
  </si>
  <si>
    <t>Róbert Mezík</t>
  </si>
  <si>
    <t>BC3</t>
  </si>
  <si>
    <t>BC 3</t>
  </si>
  <si>
    <t>BC 1</t>
  </si>
  <si>
    <t>Boccia Tatra Cup, 6.6.2015, Celoslovenský rankingový turnaj jednotlivcov</t>
  </si>
  <si>
    <t>Liptovský Ján, Slovakia, www.alexandrawellnesshotel.sk</t>
  </si>
  <si>
    <t xml:space="preserve">Zoznam prihlásených hráčov </t>
  </si>
  <si>
    <t>1.</t>
  </si>
  <si>
    <t>ŠK Altius</t>
  </si>
  <si>
    <t>Bratislava</t>
  </si>
  <si>
    <t>2.</t>
  </si>
  <si>
    <t>3.</t>
  </si>
  <si>
    <t>ŠK OMD v SR</t>
  </si>
  <si>
    <t>Žilina</t>
  </si>
  <si>
    <t>ŠK ZOM Prešov</t>
  </si>
  <si>
    <t>Prešov</t>
  </si>
  <si>
    <t>ŠK TP Victória TS</t>
  </si>
  <si>
    <t>Žiar n/Hronom</t>
  </si>
  <si>
    <t>BC4</t>
  </si>
  <si>
    <t>Marián Košťál</t>
  </si>
  <si>
    <t>Boris Klohna</t>
  </si>
  <si>
    <t xml:space="preserve">Michal Tižo </t>
  </si>
  <si>
    <t>Adam Burianek</t>
  </si>
  <si>
    <t>Ľuba Škvarnová</t>
  </si>
  <si>
    <t>František Fábry</t>
  </si>
  <si>
    <t>Vylosovanie do skupín</t>
  </si>
  <si>
    <t>Marián Klimčo</t>
  </si>
  <si>
    <t xml:space="preserve">Anna Mihová </t>
  </si>
  <si>
    <t>Samuel Andrejčík</t>
  </si>
  <si>
    <t>Michaela Balcová</t>
  </si>
  <si>
    <t>Róbert Ďurkovič</t>
  </si>
  <si>
    <t>Martin Burian</t>
  </si>
  <si>
    <t>Martin Strehársky</t>
  </si>
  <si>
    <t>Miroslav Prášil</t>
  </si>
  <si>
    <t>Silvia Petruchová</t>
  </si>
  <si>
    <t xml:space="preserve">Natália Turčínová </t>
  </si>
  <si>
    <t>Martin Rybarčák</t>
  </si>
  <si>
    <t xml:space="preserve">Martin Opát </t>
  </si>
  <si>
    <t>Tomáš Král</t>
  </si>
  <si>
    <t xml:space="preserve">Lukáš Baláži </t>
  </si>
  <si>
    <t>vylosované</t>
  </si>
  <si>
    <t>BC3 - A</t>
  </si>
  <si>
    <t>BC3 - B</t>
  </si>
  <si>
    <t>BC4 - A</t>
  </si>
  <si>
    <t>BC4 - B</t>
  </si>
  <si>
    <t>BC4 - C</t>
  </si>
  <si>
    <t>ČASOVÝ ROZPIS ZÁPASOV</t>
  </si>
  <si>
    <t>cca. časy</t>
  </si>
  <si>
    <t>kurt č.1</t>
  </si>
  <si>
    <t>kurt č.2</t>
  </si>
  <si>
    <t>kurt č.3</t>
  </si>
  <si>
    <t>kurt č.4</t>
  </si>
  <si>
    <t>rozhoduje:</t>
  </si>
  <si>
    <t>SKUPINY / HRÁČI</t>
  </si>
  <si>
    <t>Celoslovenský národný turnaj - TATRA BOCCIA CUP 2015</t>
  </si>
  <si>
    <t>kurt č.5</t>
  </si>
  <si>
    <t>kurt č.6</t>
  </si>
  <si>
    <t>kurt č.7</t>
  </si>
  <si>
    <t xml:space="preserve">      3. - 4. miesto:   (TB)</t>
  </si>
  <si>
    <t>kategória:      jednotlivci</t>
  </si>
  <si>
    <t>2. A</t>
  </si>
  <si>
    <t>1. B</t>
  </si>
  <si>
    <t>2. B</t>
  </si>
  <si>
    <t>1. A</t>
  </si>
  <si>
    <t>BOCCIA</t>
  </si>
  <si>
    <t>Názov preteku:</t>
  </si>
  <si>
    <t>1. C</t>
  </si>
  <si>
    <t>1. Finalista</t>
  </si>
  <si>
    <t>2. Finalista</t>
  </si>
  <si>
    <t>Porazený 1.A - 2.B</t>
  </si>
  <si>
    <t>Porazený 1.A - 1.B</t>
  </si>
  <si>
    <t>Porazený 1.C - 2. s naj. skóre</t>
  </si>
  <si>
    <t>2. s naj. skóre</t>
  </si>
  <si>
    <t>Porazený 2.A - 1.B</t>
  </si>
  <si>
    <t>9:00 Prezentácia hráčov</t>
  </si>
  <si>
    <t>13:00 - 14:00:00 Obedňajšia prestávka</t>
  </si>
  <si>
    <t>A</t>
  </si>
  <si>
    <t>B</t>
  </si>
  <si>
    <t>C</t>
  </si>
  <si>
    <t>K1=Počet výhier/Počet odohratých zápasov, K2=(Pozitívne skóre-Negatívne skóre)/Počet odohratých zápasov; K3=Pozitívne skóre/Počet odohratých zápasov</t>
  </si>
  <si>
    <t>Dušan Sotoniak</t>
  </si>
  <si>
    <t>BC2 - A</t>
  </si>
  <si>
    <t>BC2 - B</t>
  </si>
  <si>
    <t>A1</t>
  </si>
  <si>
    <t>A2</t>
  </si>
  <si>
    <t>A3</t>
  </si>
  <si>
    <t>B1</t>
  </si>
  <si>
    <t>B2</t>
  </si>
  <si>
    <t>B3</t>
  </si>
  <si>
    <t>OMD Boccian</t>
  </si>
  <si>
    <t>Ružomberok</t>
  </si>
  <si>
    <t>BC1 - A</t>
  </si>
  <si>
    <t>skupina BC1 A(4)</t>
  </si>
  <si>
    <t>skupina BC2 A(3), B(3)</t>
  </si>
  <si>
    <t>skupiny BC3 - A(3), B(3)</t>
  </si>
  <si>
    <t>skupiny BC4 - A(4), B(4), C(3)</t>
  </si>
  <si>
    <t>C1</t>
  </si>
  <si>
    <t>C2</t>
  </si>
  <si>
    <t>C3</t>
  </si>
  <si>
    <t>A4</t>
  </si>
  <si>
    <t>B4</t>
  </si>
  <si>
    <t>17:00 Vyhlásenie výsledkov</t>
  </si>
  <si>
    <t>Klimčo</t>
  </si>
  <si>
    <t>Sabatula</t>
  </si>
  <si>
    <t>Pagáč</t>
  </si>
  <si>
    <t>Herel</t>
  </si>
  <si>
    <t>Lenártová</t>
  </si>
  <si>
    <t>Figurová</t>
  </si>
  <si>
    <t>Malíková</t>
  </si>
  <si>
    <t>Andrejčíková</t>
  </si>
  <si>
    <t>Fejerčák</t>
  </si>
  <si>
    <t>Grega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</si>
</sst>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[$-41B]d\.\ mmmm\ yyyy"/>
    <numFmt numFmtId="167" formatCode="dd/mm/yyyy"/>
  </numFmts>
  <fonts count="68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62"/>
      <name val="Arial CE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b/>
      <sz val="10"/>
      <color indexed="63"/>
      <name val="Arial CE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6"/>
      <color indexed="10"/>
      <name val="Arial"/>
      <family val="2"/>
    </font>
    <font>
      <sz val="9"/>
      <color indexed="62"/>
      <name val="Arial CE"/>
      <family val="2"/>
    </font>
    <font>
      <i/>
      <sz val="9"/>
      <color indexed="62"/>
      <name val="Arial"/>
      <family val="2"/>
    </font>
    <font>
      <b/>
      <sz val="22"/>
      <color indexed="62"/>
      <name val="AntiqOliTEE"/>
      <family val="0"/>
    </font>
    <font>
      <b/>
      <sz val="36"/>
      <color indexed="62"/>
      <name val="Arial"/>
      <family val="2"/>
    </font>
    <font>
      <b/>
      <sz val="12"/>
      <name val="Arial"/>
      <family val="2"/>
    </font>
    <font>
      <sz val="8"/>
      <color indexed="62"/>
      <name val="Arial"/>
      <family val="2"/>
    </font>
    <font>
      <b/>
      <sz val="30"/>
      <name val="AntiqOliTEE"/>
      <family val="0"/>
    </font>
    <font>
      <sz val="36"/>
      <color indexed="62"/>
      <name val="Arial"/>
      <family val="2"/>
    </font>
    <font>
      <sz val="36"/>
      <color indexed="62"/>
      <name val="AntiqOliTEE"/>
      <family val="0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17"/>
      <name val="Arial CE"/>
      <family val="0"/>
    </font>
    <font>
      <b/>
      <sz val="16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6"/>
      <color theme="6" tint="-0.4999699890613556"/>
      <name val="Arial CE"/>
      <family val="0"/>
    </font>
    <font>
      <b/>
      <sz val="16"/>
      <color theme="0"/>
      <name val="Arial CE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bgColor indexed="26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 diagonalDown="1">
      <left style="thin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0" applyNumberFormat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9" fillId="0" borderId="0" applyAlignment="0">
      <protection/>
    </xf>
    <xf numFmtId="0" fontId="9" fillId="0" borderId="0" applyAlignment="0">
      <protection/>
    </xf>
    <xf numFmtId="0" fontId="9" fillId="0" borderId="0">
      <alignment/>
      <protection/>
    </xf>
    <xf numFmtId="0" fontId="1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32" borderId="10" xfId="0" applyNumberFormat="1" applyFill="1" applyBorder="1" applyAlignment="1" applyProtection="1">
      <alignment horizontal="center" vertical="center"/>
      <protection hidden="1"/>
    </xf>
    <xf numFmtId="2" fontId="0" fillId="32" borderId="11" xfId="0" applyNumberFormat="1" applyFill="1" applyBorder="1" applyAlignment="1" applyProtection="1">
      <alignment horizontal="center" vertical="center"/>
      <protection hidden="1"/>
    </xf>
    <xf numFmtId="2" fontId="0" fillId="32" borderId="12" xfId="0" applyNumberForma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1" fontId="2" fillId="33" borderId="17" xfId="0" applyNumberFormat="1" applyFont="1" applyFill="1" applyBorder="1" applyAlignment="1" applyProtection="1">
      <alignment horizontal="center" vertical="center"/>
      <protection hidden="1"/>
    </xf>
    <xf numFmtId="1" fontId="2" fillId="33" borderId="18" xfId="0" applyNumberFormat="1" applyFont="1" applyFill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3" borderId="20" xfId="0" applyNumberFormat="1" applyFont="1" applyFill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" fontId="2" fillId="33" borderId="22" xfId="0" applyNumberFormat="1" applyFont="1" applyFill="1" applyBorder="1" applyAlignment="1" applyProtection="1">
      <alignment horizontal="center" vertical="center"/>
      <protection hidden="1"/>
    </xf>
    <xf numFmtId="1" fontId="2" fillId="33" borderId="16" xfId="0" applyNumberFormat="1" applyFont="1" applyFill="1" applyBorder="1" applyAlignment="1" applyProtection="1">
      <alignment horizontal="center" vertical="center"/>
      <protection hidden="1"/>
    </xf>
    <xf numFmtId="1" fontId="2" fillId="34" borderId="18" xfId="0" applyNumberFormat="1" applyFont="1" applyFill="1" applyBorder="1" applyAlignment="1" applyProtection="1">
      <alignment horizontal="center" vertical="center"/>
      <protection locked="0"/>
    </xf>
    <xf numFmtId="1" fontId="2" fillId="34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0" xfId="48" applyFont="1">
      <alignment/>
      <protection/>
    </xf>
    <xf numFmtId="0" fontId="9" fillId="0" borderId="0" xfId="48" applyFont="1">
      <alignment/>
      <protection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1" fontId="2" fillId="34" borderId="12" xfId="0" applyNumberFormat="1" applyFont="1" applyFill="1" applyBorder="1" applyAlignment="1" applyProtection="1">
      <alignment horizontal="center" vertical="center"/>
      <protection locked="0"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6" fillId="32" borderId="24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6" fillId="32" borderId="25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0" xfId="49" applyAlignment="1">
      <alignment vertical="center"/>
      <protection/>
    </xf>
    <xf numFmtId="0" fontId="16" fillId="0" borderId="26" xfId="49" applyFont="1" applyBorder="1" applyAlignment="1">
      <alignment horizontal="center" vertical="center"/>
      <protection/>
    </xf>
    <xf numFmtId="20" fontId="15" fillId="0" borderId="0" xfId="49" applyNumberFormat="1" applyFont="1" applyFill="1" applyBorder="1" applyAlignment="1">
      <alignment horizontal="center" vertical="center"/>
      <protection/>
    </xf>
    <xf numFmtId="0" fontId="16" fillId="0" borderId="27" xfId="49" applyFont="1" applyBorder="1" applyAlignment="1">
      <alignment horizontal="center" vertical="center"/>
      <protection/>
    </xf>
    <xf numFmtId="0" fontId="12" fillId="0" borderId="0" xfId="49" applyAlignment="1">
      <alignment horizontal="center" vertic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12" fillId="0" borderId="0" xfId="49" applyAlignment="1">
      <alignment horizontal="left" vertical="center" indent="2"/>
      <protection/>
    </xf>
    <xf numFmtId="0" fontId="13" fillId="0" borderId="0" xfId="49" applyFont="1" applyBorder="1" applyAlignment="1">
      <alignment horizontal="center" vertical="center"/>
      <protection/>
    </xf>
    <xf numFmtId="0" fontId="12" fillId="0" borderId="0" xfId="49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4" fillId="0" borderId="12" xfId="0" applyFont="1" applyBorder="1" applyAlignment="1" applyProtection="1">
      <alignment vertical="center" wrapText="1"/>
      <protection locked="0"/>
    </xf>
    <xf numFmtId="0" fontId="14" fillId="0" borderId="26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9" fillId="0" borderId="0" xfId="46" applyAlignment="1">
      <alignment/>
      <protection/>
    </xf>
    <xf numFmtId="0" fontId="9" fillId="0" borderId="0" xfId="46" applyBorder="1" applyAlignment="1">
      <alignment/>
      <protection/>
    </xf>
    <xf numFmtId="0" fontId="18" fillId="0" borderId="0" xfId="46" applyFont="1" applyBorder="1" applyAlignment="1">
      <alignment horizontal="center" vertical="center"/>
      <protection/>
    </xf>
    <xf numFmtId="0" fontId="18" fillId="0" borderId="0" xfId="46" applyFont="1" applyAlignment="1">
      <alignment/>
      <protection/>
    </xf>
    <xf numFmtId="0" fontId="18" fillId="0" borderId="0" xfId="46" applyFont="1" applyBorder="1" applyAlignment="1">
      <alignment vertical="center"/>
      <protection/>
    </xf>
    <xf numFmtId="0" fontId="18" fillId="0" borderId="28" xfId="46" applyFont="1" applyBorder="1" applyAlignment="1">
      <alignment horizontal="center" vertical="center"/>
      <protection/>
    </xf>
    <xf numFmtId="0" fontId="18" fillId="0" borderId="0" xfId="46" applyFont="1" applyBorder="1" applyAlignment="1">
      <alignment/>
      <protection/>
    </xf>
    <xf numFmtId="0" fontId="9" fillId="0" borderId="0" xfId="46" applyBorder="1" applyAlignment="1">
      <alignment horizontal="left" vertical="center" indent="1"/>
      <protection/>
    </xf>
    <xf numFmtId="0" fontId="9" fillId="0" borderId="0" xfId="46" applyBorder="1" applyAlignment="1">
      <alignment horizontal="center" vertical="center"/>
      <protection/>
    </xf>
    <xf numFmtId="0" fontId="10" fillId="0" borderId="0" xfId="46" applyFont="1" applyBorder="1" applyAlignment="1">
      <alignment horizontal="center" vertical="center"/>
      <protection/>
    </xf>
    <xf numFmtId="0" fontId="18" fillId="0" borderId="0" xfId="46" applyFont="1" applyBorder="1" applyAlignment="1">
      <alignment horizontal="right" vertical="center"/>
      <protection/>
    </xf>
    <xf numFmtId="0" fontId="18" fillId="0" borderId="0" xfId="46" applyFont="1" applyAlignment="1">
      <alignment horizontal="right" vertical="center"/>
      <protection/>
    </xf>
    <xf numFmtId="0" fontId="18" fillId="0" borderId="29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vertical="center"/>
      <protection/>
    </xf>
    <xf numFmtId="0" fontId="9" fillId="0" borderId="0" xfId="46" applyBorder="1" applyAlignment="1">
      <alignment vertical="center"/>
      <protection/>
    </xf>
    <xf numFmtId="0" fontId="18" fillId="0" borderId="30" xfId="46" applyFont="1" applyBorder="1" applyAlignment="1">
      <alignment horizontal="center" vertical="center"/>
      <protection/>
    </xf>
    <xf numFmtId="0" fontId="18" fillId="0" borderId="0" xfId="46" applyFont="1" applyAlignment="1">
      <alignment horizontal="center" vertical="center"/>
      <protection/>
    </xf>
    <xf numFmtId="0" fontId="18" fillId="0" borderId="0" xfId="46" applyFont="1" applyBorder="1" applyAlignment="1">
      <alignment horizontal="left" vertical="center" indent="1"/>
      <protection/>
    </xf>
    <xf numFmtId="0" fontId="19" fillId="0" borderId="0" xfId="46" applyFont="1" applyAlignment="1">
      <alignment horizontal="center" vertical="center"/>
      <protection/>
    </xf>
    <xf numFmtId="0" fontId="18" fillId="0" borderId="0" xfId="46" applyFont="1" applyAlignment="1">
      <alignment horizontal="left" vertical="center" indent="1"/>
      <protection/>
    </xf>
    <xf numFmtId="0" fontId="19" fillId="0" borderId="0" xfId="46" applyFont="1" applyBorder="1" applyAlignment="1">
      <alignment horizontal="center" vertical="center"/>
      <protection/>
    </xf>
    <xf numFmtId="0" fontId="19" fillId="0" borderId="0" xfId="46" applyFont="1" applyBorder="1" applyAlignment="1">
      <alignment vertical="center"/>
      <protection/>
    </xf>
    <xf numFmtId="0" fontId="9" fillId="0" borderId="0" xfId="46" applyFont="1" applyBorder="1" applyAlignment="1">
      <alignment vertical="center"/>
      <protection/>
    </xf>
    <xf numFmtId="0" fontId="24" fillId="0" borderId="0" xfId="46" applyFont="1" applyAlignment="1">
      <alignment horizontal="center" vertical="center"/>
      <protection/>
    </xf>
    <xf numFmtId="0" fontId="25" fillId="0" borderId="0" xfId="46" applyFont="1" applyBorder="1" applyAlignment="1">
      <alignment vertical="center"/>
      <protection/>
    </xf>
    <xf numFmtId="0" fontId="24" fillId="0" borderId="0" xfId="46" applyFont="1" applyBorder="1" applyAlignment="1">
      <alignment horizontal="center" vertical="center"/>
      <protection/>
    </xf>
    <xf numFmtId="0" fontId="19" fillId="0" borderId="0" xfId="46" applyFont="1" applyFill="1" applyAlignment="1">
      <alignment horizontal="center" vertical="center"/>
      <protection/>
    </xf>
    <xf numFmtId="0" fontId="18" fillId="0" borderId="0" xfId="46" applyFont="1" applyFill="1" applyAlignment="1">
      <alignment horizontal="center" vertical="center"/>
      <protection/>
    </xf>
    <xf numFmtId="0" fontId="26" fillId="0" borderId="0" xfId="46" applyFont="1" applyFill="1" applyBorder="1" applyAlignment="1">
      <alignment vertical="center"/>
      <protection/>
    </xf>
    <xf numFmtId="0" fontId="26" fillId="0" borderId="0" xfId="46" applyFont="1" applyBorder="1" applyAlignment="1">
      <alignment vertical="center"/>
      <protection/>
    </xf>
    <xf numFmtId="0" fontId="18" fillId="0" borderId="0" xfId="46" applyFont="1" applyFill="1" applyAlignment="1">
      <alignment/>
      <protection/>
    </xf>
    <xf numFmtId="0" fontId="27" fillId="0" borderId="0" xfId="47" applyFont="1" applyBorder="1" applyAlignment="1">
      <alignment vertical="center"/>
      <protection/>
    </xf>
    <xf numFmtId="0" fontId="28" fillId="0" borderId="29" xfId="46" applyFont="1" applyBorder="1" applyAlignment="1">
      <alignment horizontal="center" vertical="center"/>
      <protection/>
    </xf>
    <xf numFmtId="0" fontId="29" fillId="0" borderId="0" xfId="46" applyFont="1" applyAlignment="1">
      <alignment horizontal="center" vertical="center"/>
      <protection/>
    </xf>
    <xf numFmtId="0" fontId="28" fillId="0" borderId="0" xfId="46" applyFont="1" applyAlignment="1">
      <alignment horizontal="center" vertical="center"/>
      <protection/>
    </xf>
    <xf numFmtId="0" fontId="9" fillId="0" borderId="0" xfId="46" applyAlignment="1">
      <alignment horizontal="center" vertical="center"/>
      <protection/>
    </xf>
    <xf numFmtId="0" fontId="18" fillId="0" borderId="31" xfId="46" applyFont="1" applyBorder="1" applyAlignment="1">
      <alignment horizontal="center" vertical="center"/>
      <protection/>
    </xf>
    <xf numFmtId="0" fontId="30" fillId="0" borderId="0" xfId="46" applyFont="1" applyBorder="1" applyAlignment="1">
      <alignment vertical="center"/>
      <protection/>
    </xf>
    <xf numFmtId="0" fontId="30" fillId="0" borderId="0" xfId="46" applyFont="1" applyBorder="1" applyAlignment="1">
      <alignment horizontal="center" vertical="center"/>
      <protection/>
    </xf>
    <xf numFmtId="0" fontId="10" fillId="0" borderId="0" xfId="46" applyFont="1" applyAlignment="1">
      <alignment horizontal="center" vertical="center"/>
      <protection/>
    </xf>
    <xf numFmtId="0" fontId="18" fillId="0" borderId="24" xfId="46" applyFont="1" applyBorder="1" applyAlignment="1">
      <alignment vertical="center"/>
      <protection/>
    </xf>
    <xf numFmtId="0" fontId="0" fillId="34" borderId="20" xfId="0" applyFill="1" applyBorder="1" applyAlignment="1">
      <alignment horizontal="left" vertical="center"/>
    </xf>
    <xf numFmtId="0" fontId="0" fillId="34" borderId="20" xfId="0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20" fontId="15" fillId="0" borderId="0" xfId="49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15" fillId="35" borderId="32" xfId="49" applyFont="1" applyFill="1" applyBorder="1" applyAlignment="1">
      <alignment horizontal="center" vertical="center"/>
      <protection/>
    </xf>
    <xf numFmtId="0" fontId="15" fillId="35" borderId="33" xfId="49" applyFont="1" applyFill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14" fillId="0" borderId="35" xfId="49" applyFont="1" applyBorder="1" applyAlignment="1">
      <alignment horizontal="center" vertical="center"/>
      <protection/>
    </xf>
    <xf numFmtId="0" fontId="14" fillId="0" borderId="27" xfId="49" applyFont="1" applyBorder="1" applyAlignment="1">
      <alignment horizontal="center" vertical="center"/>
      <protection/>
    </xf>
    <xf numFmtId="0" fontId="14" fillId="0" borderId="36" xfId="49" applyFont="1" applyBorder="1" applyAlignment="1">
      <alignment horizontal="center" vertical="center"/>
      <protection/>
    </xf>
    <xf numFmtId="0" fontId="16" fillId="0" borderId="37" xfId="49" applyFont="1" applyBorder="1" applyAlignment="1">
      <alignment horizontal="center" vertical="center"/>
      <protection/>
    </xf>
    <xf numFmtId="0" fontId="0" fillId="36" borderId="20" xfId="0" applyFill="1" applyBorder="1" applyAlignment="1">
      <alignment/>
    </xf>
    <xf numFmtId="0" fontId="0" fillId="36" borderId="20" xfId="0" applyFill="1" applyBorder="1" applyAlignment="1">
      <alignment horizontal="center" vertical="center" wrapText="1"/>
    </xf>
    <xf numFmtId="0" fontId="0" fillId="36" borderId="38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0" xfId="0" applyFill="1" applyBorder="1" applyAlignment="1">
      <alignment horizontal="center" vertical="center" wrapText="1"/>
    </xf>
    <xf numFmtId="0" fontId="0" fillId="37" borderId="39" xfId="0" applyFill="1" applyBorder="1" applyAlignment="1">
      <alignment horizontal="left"/>
    </xf>
    <xf numFmtId="0" fontId="0" fillId="37" borderId="40" xfId="0" applyFill="1" applyBorder="1" applyAlignment="1">
      <alignment horizontal="left"/>
    </xf>
    <xf numFmtId="0" fontId="0" fillId="38" borderId="20" xfId="0" applyFill="1" applyBorder="1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22" borderId="20" xfId="0" applyFill="1" applyBorder="1" applyAlignment="1">
      <alignment/>
    </xf>
    <xf numFmtId="0" fontId="0" fillId="22" borderId="20" xfId="0" applyFill="1" applyBorder="1" applyAlignment="1">
      <alignment vertical="center"/>
    </xf>
    <xf numFmtId="0" fontId="0" fillId="22" borderId="20" xfId="0" applyFill="1" applyBorder="1" applyAlignment="1">
      <alignment horizontal="center" vertical="center" wrapText="1"/>
    </xf>
    <xf numFmtId="0" fontId="0" fillId="22" borderId="38" xfId="0" applyFill="1" applyBorder="1" applyAlignment="1">
      <alignment horizontal="left"/>
    </xf>
    <xf numFmtId="0" fontId="0" fillId="22" borderId="39" xfId="0" applyFill="1" applyBorder="1" applyAlignment="1">
      <alignment horizontal="left"/>
    </xf>
    <xf numFmtId="0" fontId="0" fillId="22" borderId="41" xfId="0" applyFill="1" applyBorder="1" applyAlignment="1">
      <alignment horizontal="left"/>
    </xf>
    <xf numFmtId="0" fontId="0" fillId="22" borderId="42" xfId="0" applyFill="1" applyBorder="1" applyAlignment="1">
      <alignment horizontal="left"/>
    </xf>
    <xf numFmtId="0" fontId="0" fillId="22" borderId="43" xfId="0" applyFill="1" applyBorder="1" applyAlignment="1">
      <alignment horizontal="left"/>
    </xf>
    <xf numFmtId="0" fontId="0" fillId="38" borderId="20" xfId="0" applyFill="1" applyBorder="1" applyAlignment="1">
      <alignment vertical="center"/>
    </xf>
    <xf numFmtId="0" fontId="25" fillId="0" borderId="0" xfId="48" applyFont="1" applyAlignment="1">
      <alignment/>
      <protection/>
    </xf>
    <xf numFmtId="0" fontId="9" fillId="39" borderId="27" xfId="48" applyFont="1" applyFill="1" applyBorder="1" applyAlignment="1">
      <alignment horizontal="center" wrapText="1"/>
      <protection/>
    </xf>
    <xf numFmtId="0" fontId="10" fillId="0" borderId="44" xfId="48" applyFont="1" applyBorder="1" applyAlignment="1">
      <alignment horizontal="center"/>
      <protection/>
    </xf>
    <xf numFmtId="0" fontId="10" fillId="0" borderId="45" xfId="48" applyFont="1" applyBorder="1" applyAlignment="1">
      <alignment horizontal="center"/>
      <protection/>
    </xf>
    <xf numFmtId="0" fontId="10" fillId="0" borderId="46" xfId="48" applyFont="1" applyBorder="1" applyAlignment="1">
      <alignment horizontal="center"/>
      <protection/>
    </xf>
    <xf numFmtId="0" fontId="9" fillId="38" borderId="47" xfId="48" applyFont="1" applyFill="1" applyBorder="1" applyAlignment="1">
      <alignment horizontal="center"/>
      <protection/>
    </xf>
    <xf numFmtId="0" fontId="9" fillId="38" borderId="48" xfId="48" applyFont="1" applyFill="1" applyBorder="1">
      <alignment/>
      <protection/>
    </xf>
    <xf numFmtId="0" fontId="9" fillId="38" borderId="49" xfId="48" applyFont="1" applyFill="1" applyBorder="1">
      <alignment/>
      <protection/>
    </xf>
    <xf numFmtId="0" fontId="9" fillId="38" borderId="19" xfId="48" applyFont="1" applyFill="1" applyBorder="1" applyAlignment="1">
      <alignment horizontal="center"/>
      <protection/>
    </xf>
    <xf numFmtId="0" fontId="9" fillId="38" borderId="20" xfId="48" applyFont="1" applyFill="1" applyBorder="1">
      <alignment/>
      <protection/>
    </xf>
    <xf numFmtId="0" fontId="9" fillId="38" borderId="15" xfId="48" applyFont="1" applyFill="1" applyBorder="1">
      <alignment/>
      <protection/>
    </xf>
    <xf numFmtId="0" fontId="9" fillId="38" borderId="21" xfId="48" applyFont="1" applyFill="1" applyBorder="1" applyAlignment="1">
      <alignment horizontal="center"/>
      <protection/>
    </xf>
    <xf numFmtId="0" fontId="9" fillId="38" borderId="22" xfId="48" applyFont="1" applyFill="1" applyBorder="1">
      <alignment/>
      <protection/>
    </xf>
    <xf numFmtId="0" fontId="9" fillId="38" borderId="16" xfId="48" applyFont="1" applyFill="1" applyBorder="1">
      <alignment/>
      <protection/>
    </xf>
    <xf numFmtId="0" fontId="9" fillId="40" borderId="47" xfId="48" applyFont="1" applyFill="1" applyBorder="1" applyAlignment="1">
      <alignment horizontal="center"/>
      <protection/>
    </xf>
    <xf numFmtId="0" fontId="9" fillId="40" borderId="48" xfId="48" applyFont="1" applyFill="1" applyBorder="1">
      <alignment/>
      <protection/>
    </xf>
    <xf numFmtId="0" fontId="9" fillId="40" borderId="49" xfId="48" applyFont="1" applyFill="1" applyBorder="1">
      <alignment/>
      <protection/>
    </xf>
    <xf numFmtId="0" fontId="9" fillId="40" borderId="19" xfId="48" applyFont="1" applyFill="1" applyBorder="1" applyAlignment="1">
      <alignment horizontal="center"/>
      <protection/>
    </xf>
    <xf numFmtId="0" fontId="9" fillId="40" borderId="20" xfId="48" applyFont="1" applyFill="1" applyBorder="1">
      <alignment/>
      <protection/>
    </xf>
    <xf numFmtId="0" fontId="9" fillId="40" borderId="15" xfId="48" applyFont="1" applyFill="1" applyBorder="1">
      <alignment/>
      <protection/>
    </xf>
    <xf numFmtId="0" fontId="9" fillId="40" borderId="21" xfId="48" applyFont="1" applyFill="1" applyBorder="1" applyAlignment="1">
      <alignment horizontal="center"/>
      <protection/>
    </xf>
    <xf numFmtId="0" fontId="9" fillId="40" borderId="22" xfId="48" applyFont="1" applyFill="1" applyBorder="1">
      <alignment/>
      <protection/>
    </xf>
    <xf numFmtId="0" fontId="9" fillId="40" borderId="16" xfId="48" applyFont="1" applyFill="1" applyBorder="1">
      <alignment/>
      <protection/>
    </xf>
    <xf numFmtId="0" fontId="9" fillId="13" borderId="47" xfId="48" applyFont="1" applyFill="1" applyBorder="1" applyAlignment="1">
      <alignment horizontal="center"/>
      <protection/>
    </xf>
    <xf numFmtId="0" fontId="9" fillId="13" borderId="48" xfId="48" applyFont="1" applyFill="1" applyBorder="1">
      <alignment/>
      <protection/>
    </xf>
    <xf numFmtId="0" fontId="9" fillId="13" borderId="49" xfId="48" applyFont="1" applyFill="1" applyBorder="1">
      <alignment/>
      <protection/>
    </xf>
    <xf numFmtId="0" fontId="9" fillId="13" borderId="19" xfId="48" applyFont="1" applyFill="1" applyBorder="1" applyAlignment="1">
      <alignment horizontal="center"/>
      <protection/>
    </xf>
    <xf numFmtId="0" fontId="9" fillId="13" borderId="20" xfId="48" applyFont="1" applyFill="1" applyBorder="1">
      <alignment/>
      <protection/>
    </xf>
    <xf numFmtId="0" fontId="9" fillId="13" borderId="15" xfId="48" applyFont="1" applyFill="1" applyBorder="1">
      <alignment/>
      <protection/>
    </xf>
    <xf numFmtId="0" fontId="9" fillId="13" borderId="21" xfId="48" applyFont="1" applyFill="1" applyBorder="1" applyAlignment="1">
      <alignment horizontal="center"/>
      <protection/>
    </xf>
    <xf numFmtId="0" fontId="9" fillId="13" borderId="22" xfId="48" applyFont="1" applyFill="1" applyBorder="1">
      <alignment/>
      <protection/>
    </xf>
    <xf numFmtId="0" fontId="9" fillId="13" borderId="16" xfId="48" applyFont="1" applyFill="1" applyBorder="1">
      <alignment/>
      <protection/>
    </xf>
    <xf numFmtId="0" fontId="9" fillId="22" borderId="47" xfId="48" applyFont="1" applyFill="1" applyBorder="1" applyAlignment="1">
      <alignment horizontal="center"/>
      <protection/>
    </xf>
    <xf numFmtId="0" fontId="9" fillId="22" borderId="48" xfId="48" applyFont="1" applyFill="1" applyBorder="1">
      <alignment/>
      <protection/>
    </xf>
    <xf numFmtId="0" fontId="9" fillId="22" borderId="49" xfId="48" applyFont="1" applyFill="1" applyBorder="1">
      <alignment/>
      <protection/>
    </xf>
    <xf numFmtId="0" fontId="9" fillId="22" borderId="19" xfId="48" applyFont="1" applyFill="1" applyBorder="1" applyAlignment="1">
      <alignment horizontal="center"/>
      <protection/>
    </xf>
    <xf numFmtId="0" fontId="9" fillId="22" borderId="20" xfId="48" applyFont="1" applyFill="1" applyBorder="1">
      <alignment/>
      <protection/>
    </xf>
    <xf numFmtId="0" fontId="9" fillId="22" borderId="15" xfId="48" applyFont="1" applyFill="1" applyBorder="1">
      <alignment/>
      <protection/>
    </xf>
    <xf numFmtId="0" fontId="9" fillId="22" borderId="21" xfId="48" applyFont="1" applyFill="1" applyBorder="1" applyAlignment="1">
      <alignment horizontal="center"/>
      <protection/>
    </xf>
    <xf numFmtId="0" fontId="9" fillId="22" borderId="22" xfId="48" applyFont="1" applyFill="1" applyBorder="1">
      <alignment/>
      <protection/>
    </xf>
    <xf numFmtId="0" fontId="9" fillId="22" borderId="16" xfId="48" applyFont="1" applyFill="1" applyBorder="1">
      <alignment/>
      <protection/>
    </xf>
    <xf numFmtId="0" fontId="8" fillId="35" borderId="37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39" borderId="50" xfId="48" applyFont="1" applyFill="1" applyBorder="1" applyAlignment="1">
      <alignment horizontal="left"/>
      <protection/>
    </xf>
    <xf numFmtId="0" fontId="10" fillId="39" borderId="51" xfId="48" applyFont="1" applyFill="1" applyBorder="1" applyAlignment="1">
      <alignment horizontal="left"/>
      <protection/>
    </xf>
    <xf numFmtId="0" fontId="10" fillId="39" borderId="52" xfId="48" applyFont="1" applyFill="1" applyBorder="1" applyAlignment="1">
      <alignment horizontal="left"/>
      <protection/>
    </xf>
    <xf numFmtId="0" fontId="10" fillId="0" borderId="0" xfId="48" applyFont="1" applyAlignment="1">
      <alignment horizontal="center" wrapText="1"/>
      <protection/>
    </xf>
    <xf numFmtId="0" fontId="25" fillId="0" borderId="0" xfId="48" applyFont="1" applyAlignment="1">
      <alignment horizontal="center"/>
      <protection/>
    </xf>
    <xf numFmtId="0" fontId="2" fillId="32" borderId="53" xfId="0" applyFont="1" applyFill="1" applyBorder="1" applyAlignment="1">
      <alignment/>
    </xf>
    <xf numFmtId="0" fontId="2" fillId="32" borderId="54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0" fillId="0" borderId="22" xfId="0" applyBorder="1" applyAlignment="1" applyProtection="1">
      <alignment horizontal="center" vertical="center"/>
      <protection locked="0"/>
    </xf>
    <xf numFmtId="2" fontId="0" fillId="32" borderId="18" xfId="0" applyNumberFormat="1" applyFill="1" applyBorder="1" applyAlignment="1" applyProtection="1">
      <alignment horizontal="center" vertical="center"/>
      <protection hidden="1"/>
    </xf>
    <xf numFmtId="2" fontId="0" fillId="32" borderId="14" xfId="0" applyNumberFormat="1" applyFill="1" applyBorder="1" applyAlignment="1" applyProtection="1">
      <alignment horizontal="center" vertical="center"/>
      <protection hidden="1"/>
    </xf>
    <xf numFmtId="2" fontId="0" fillId="32" borderId="20" xfId="0" applyNumberFormat="1" applyFill="1" applyBorder="1" applyAlignment="1" applyProtection="1">
      <alignment horizontal="center" vertical="center"/>
      <protection hidden="1"/>
    </xf>
    <xf numFmtId="2" fontId="0" fillId="32" borderId="15" xfId="0" applyNumberFormat="1" applyFill="1" applyBorder="1" applyAlignment="1" applyProtection="1">
      <alignment horizontal="center" vertical="center"/>
      <protection hidden="1"/>
    </xf>
    <xf numFmtId="2" fontId="0" fillId="32" borderId="22" xfId="0" applyNumberFormat="1" applyFill="1" applyBorder="1" applyAlignment="1" applyProtection="1">
      <alignment horizontal="center" vertical="center"/>
      <protection hidden="1"/>
    </xf>
    <xf numFmtId="1" fontId="0" fillId="0" borderId="22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2" fontId="0" fillId="32" borderId="11" xfId="0" applyNumberForma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1" fontId="7" fillId="41" borderId="22" xfId="0" applyNumberFormat="1" applyFont="1" applyFill="1" applyBorder="1" applyAlignment="1" applyProtection="1">
      <alignment horizontal="center" vertical="center"/>
      <protection hidden="1"/>
    </xf>
    <xf numFmtId="1" fontId="7" fillId="41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2" fontId="0" fillId="32" borderId="16" xfId="0" applyNumberFormat="1" applyFill="1" applyBorder="1" applyAlignment="1" applyProtection="1">
      <alignment horizontal="center" vertical="center"/>
      <protection hidden="1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2" fontId="0" fillId="32" borderId="12" xfId="0" applyNumberFormat="1" applyFill="1" applyBorder="1" applyAlignment="1" applyProtection="1">
      <alignment horizontal="center" vertical="center"/>
      <protection hidden="1"/>
    </xf>
    <xf numFmtId="2" fontId="0" fillId="32" borderId="10" xfId="0" applyNumberFormat="1" applyFill="1" applyBorder="1" applyAlignment="1" applyProtection="1">
      <alignment horizontal="center" vertical="center"/>
      <protection hidden="1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/>
      <protection locked="0"/>
    </xf>
    <xf numFmtId="1" fontId="7" fillId="41" borderId="20" xfId="0" applyNumberFormat="1" applyFont="1" applyFill="1" applyBorder="1" applyAlignment="1" applyProtection="1">
      <alignment horizontal="center" vertical="center"/>
      <protection hidden="1"/>
    </xf>
    <xf numFmtId="1" fontId="7" fillId="41" borderId="15" xfId="0" applyNumberFormat="1" applyFont="1" applyFill="1" applyBorder="1" applyAlignment="1" applyProtection="1">
      <alignment horizontal="center" vertical="center"/>
      <protection hidden="1"/>
    </xf>
    <xf numFmtId="1" fontId="7" fillId="41" borderId="18" xfId="0" applyNumberFormat="1" applyFont="1" applyFill="1" applyBorder="1" applyAlignment="1" applyProtection="1">
      <alignment horizontal="center" vertical="center"/>
      <protection hidden="1"/>
    </xf>
    <xf numFmtId="1" fontId="7" fillId="41" borderId="14" xfId="0" applyNumberFormat="1" applyFont="1" applyFill="1" applyBorder="1" applyAlignment="1" applyProtection="1">
      <alignment horizontal="center" vertical="center"/>
      <protection hidden="1"/>
    </xf>
    <xf numFmtId="0" fontId="6" fillId="32" borderId="56" xfId="0" applyFont="1" applyFill="1" applyBorder="1" applyAlignment="1" applyProtection="1">
      <alignment horizontal="center" vertical="center" wrapText="1"/>
      <protection hidden="1"/>
    </xf>
    <xf numFmtId="0" fontId="6" fillId="32" borderId="57" xfId="0" applyFont="1" applyFill="1" applyBorder="1" applyAlignment="1" applyProtection="1">
      <alignment horizontal="center" vertical="center" wrapText="1"/>
      <protection hidden="1"/>
    </xf>
    <xf numFmtId="0" fontId="6" fillId="32" borderId="58" xfId="0" applyFont="1" applyFill="1" applyBorder="1" applyAlignment="1" applyProtection="1">
      <alignment horizontal="center" vertical="center" wrapText="1"/>
      <protection hidden="1"/>
    </xf>
    <xf numFmtId="0" fontId="6" fillId="32" borderId="42" xfId="0" applyFont="1" applyFill="1" applyBorder="1" applyAlignment="1" applyProtection="1">
      <alignment horizontal="center" vertical="center" wrapText="1"/>
      <protection hidden="1"/>
    </xf>
    <xf numFmtId="0" fontId="8" fillId="32" borderId="56" xfId="0" applyFont="1" applyFill="1" applyBorder="1" applyAlignment="1" applyProtection="1">
      <alignment horizontal="center" vertical="center" wrapText="1"/>
      <protection hidden="1"/>
    </xf>
    <xf numFmtId="0" fontId="8" fillId="32" borderId="57" xfId="0" applyFont="1" applyFill="1" applyBorder="1" applyAlignment="1" applyProtection="1">
      <alignment horizontal="center" vertical="center" wrapText="1"/>
      <protection hidden="1"/>
    </xf>
    <xf numFmtId="0" fontId="8" fillId="32" borderId="58" xfId="0" applyFont="1" applyFill="1" applyBorder="1" applyAlignment="1" applyProtection="1">
      <alignment horizontal="center" vertical="center" wrapText="1"/>
      <protection hidden="1"/>
    </xf>
    <xf numFmtId="0" fontId="8" fillId="32" borderId="42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6" fillId="32" borderId="13" xfId="0" applyFont="1" applyFill="1" applyBorder="1" applyAlignment="1" applyProtection="1">
      <alignment horizontal="center" vertical="center" wrapText="1"/>
      <protection hidden="1"/>
    </xf>
    <xf numFmtId="0" fontId="6" fillId="32" borderId="59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/>
      <protection hidden="1" locked="0"/>
    </xf>
    <xf numFmtId="0" fontId="3" fillId="0" borderId="34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4" fillId="0" borderId="60" xfId="0" applyFont="1" applyFill="1" applyBorder="1" applyAlignment="1" applyProtection="1">
      <alignment horizontal="center" vertical="center" wrapText="1"/>
      <protection locked="0"/>
    </xf>
    <xf numFmtId="14" fontId="4" fillId="0" borderId="20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>
      <alignment horizontal="left" wrapText="1"/>
    </xf>
    <xf numFmtId="1" fontId="2" fillId="33" borderId="53" xfId="0" applyNumberFormat="1" applyFont="1" applyFill="1" applyBorder="1" applyAlignment="1" applyProtection="1">
      <alignment horizontal="center" vertical="center"/>
      <protection hidden="1"/>
    </xf>
    <xf numFmtId="1" fontId="2" fillId="33" borderId="10" xfId="0" applyNumberFormat="1" applyFont="1" applyFill="1" applyBorder="1" applyAlignment="1" applyProtection="1">
      <alignment horizontal="center" vertical="center"/>
      <protection hidden="1"/>
    </xf>
    <xf numFmtId="1" fontId="2" fillId="33" borderId="61" xfId="0" applyNumberFormat="1" applyFont="1" applyFill="1" applyBorder="1" applyAlignment="1" applyProtection="1">
      <alignment horizontal="center" vertical="center"/>
      <protection hidden="1"/>
    </xf>
    <xf numFmtId="1" fontId="2" fillId="33" borderId="12" xfId="0" applyNumberFormat="1" applyFont="1" applyFill="1" applyBorder="1" applyAlignment="1" applyProtection="1">
      <alignment horizontal="center" vertical="center"/>
      <protection hidden="1"/>
    </xf>
    <xf numFmtId="1" fontId="2" fillId="33" borderId="62" xfId="0" applyNumberFormat="1" applyFont="1" applyFill="1" applyBorder="1" applyAlignment="1" applyProtection="1">
      <alignment horizontal="center" vertical="center"/>
      <protection hidden="1"/>
    </xf>
    <xf numFmtId="1" fontId="2" fillId="33" borderId="40" xfId="0" applyNumberFormat="1" applyFont="1" applyFill="1" applyBorder="1" applyAlignment="1" applyProtection="1">
      <alignment horizontal="center" vertical="center"/>
      <protection hidden="1"/>
    </xf>
    <xf numFmtId="0" fontId="6" fillId="32" borderId="37" xfId="0" applyFont="1" applyFill="1" applyBorder="1" applyAlignment="1" applyProtection="1">
      <alignment horizontal="center" vertical="center" wrapText="1"/>
      <protection hidden="1"/>
    </xf>
    <xf numFmtId="0" fontId="6" fillId="32" borderId="6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left" wrapText="1"/>
    </xf>
    <xf numFmtId="1" fontId="2" fillId="33" borderId="64" xfId="0" applyNumberFormat="1" applyFont="1" applyFill="1" applyBorder="1" applyAlignment="1" applyProtection="1">
      <alignment horizontal="center" vertical="center"/>
      <protection hidden="1"/>
    </xf>
    <xf numFmtId="167" fontId="18" fillId="0" borderId="0" xfId="46" applyNumberFormat="1" applyFont="1" applyBorder="1" applyAlignment="1">
      <alignment horizontal="center"/>
      <protection/>
    </xf>
    <xf numFmtId="0" fontId="21" fillId="0" borderId="0" xfId="46" applyFont="1" applyBorder="1" applyAlignment="1">
      <alignment horizontal="center" vertical="center" wrapText="1"/>
      <protection/>
    </xf>
    <xf numFmtId="0" fontId="18" fillId="0" borderId="0" xfId="46" applyFont="1" applyBorder="1" applyAlignment="1">
      <alignment horizontal="left" vertical="center"/>
      <protection/>
    </xf>
    <xf numFmtId="0" fontId="18" fillId="0" borderId="20" xfId="46" applyFont="1" applyBorder="1" applyAlignment="1">
      <alignment horizontal="center" vertical="center"/>
      <protection/>
    </xf>
    <xf numFmtId="0" fontId="18" fillId="0" borderId="0" xfId="46" applyFont="1" applyBorder="1" applyAlignment="1">
      <alignment horizontal="center" vertical="center"/>
      <protection/>
    </xf>
    <xf numFmtId="0" fontId="20" fillId="42" borderId="65" xfId="46" applyFont="1" applyFill="1" applyBorder="1" applyAlignment="1">
      <alignment horizontal="center" vertical="center"/>
      <protection/>
    </xf>
    <xf numFmtId="0" fontId="19" fillId="0" borderId="66" xfId="46" applyFont="1" applyBorder="1" applyAlignment="1">
      <alignment horizontal="center" vertical="center"/>
      <protection/>
    </xf>
    <xf numFmtId="0" fontId="22" fillId="0" borderId="0" xfId="46" applyFont="1" applyBorder="1" applyAlignment="1">
      <alignment horizontal="center" vertical="center"/>
      <protection/>
    </xf>
    <xf numFmtId="0" fontId="18" fillId="0" borderId="67" xfId="46" applyFont="1" applyBorder="1" applyAlignment="1">
      <alignment horizontal="center" vertical="center" wrapText="1"/>
      <protection/>
    </xf>
    <xf numFmtId="0" fontId="18" fillId="0" borderId="68" xfId="46" applyFont="1" applyBorder="1" applyAlignment="1">
      <alignment horizontal="center" vertical="center" wrapText="1"/>
      <protection/>
    </xf>
    <xf numFmtId="0" fontId="18" fillId="0" borderId="69" xfId="46" applyFont="1" applyBorder="1" applyAlignment="1">
      <alignment horizontal="center" vertical="center" wrapText="1"/>
      <protection/>
    </xf>
    <xf numFmtId="0" fontId="18" fillId="0" borderId="70" xfId="46" applyFont="1" applyBorder="1" applyAlignment="1">
      <alignment horizontal="center" vertical="center" wrapText="1"/>
      <protection/>
    </xf>
    <xf numFmtId="0" fontId="18" fillId="0" borderId="0" xfId="46" applyFont="1" applyBorder="1" applyAlignment="1">
      <alignment horizontal="center" vertical="center" wrapText="1"/>
      <protection/>
    </xf>
    <xf numFmtId="0" fontId="18" fillId="0" borderId="24" xfId="46" applyFont="1" applyBorder="1" applyAlignment="1">
      <alignment horizontal="center" vertical="center" wrapText="1"/>
      <protection/>
    </xf>
    <xf numFmtId="0" fontId="18" fillId="0" borderId="71" xfId="46" applyFont="1" applyBorder="1" applyAlignment="1">
      <alignment horizontal="center" vertical="center" wrapText="1"/>
      <protection/>
    </xf>
    <xf numFmtId="0" fontId="18" fillId="0" borderId="72" xfId="46" applyFont="1" applyBorder="1" applyAlignment="1">
      <alignment horizontal="center" vertical="center" wrapText="1"/>
      <protection/>
    </xf>
    <xf numFmtId="0" fontId="18" fillId="0" borderId="73" xfId="46" applyFont="1" applyBorder="1" applyAlignment="1">
      <alignment horizontal="center" vertical="center" wrapText="1"/>
      <protection/>
    </xf>
    <xf numFmtId="0" fontId="20" fillId="42" borderId="74" xfId="46" applyFont="1" applyFill="1" applyBorder="1" applyAlignment="1">
      <alignment horizontal="center" vertical="center"/>
      <protection/>
    </xf>
    <xf numFmtId="0" fontId="19" fillId="0" borderId="66" xfId="46" applyFont="1" applyFill="1" applyBorder="1" applyAlignment="1">
      <alignment horizontal="center" vertical="center"/>
      <protection/>
    </xf>
    <xf numFmtId="0" fontId="18" fillId="0" borderId="66" xfId="46" applyFont="1" applyBorder="1" applyAlignment="1">
      <alignment horizontal="center" vertical="center"/>
      <protection/>
    </xf>
    <xf numFmtId="0" fontId="23" fillId="0" borderId="28" xfId="46" applyFont="1" applyBorder="1" applyAlignment="1">
      <alignment horizontal="center" vertical="center"/>
      <protection/>
    </xf>
    <xf numFmtId="0" fontId="23" fillId="0" borderId="75" xfId="46" applyFont="1" applyBorder="1" applyAlignment="1">
      <alignment horizontal="center" vertical="center"/>
      <protection/>
    </xf>
    <xf numFmtId="0" fontId="23" fillId="0" borderId="74" xfId="46" applyFont="1" applyBorder="1" applyAlignment="1">
      <alignment horizontal="center" vertical="center"/>
      <protection/>
    </xf>
    <xf numFmtId="0" fontId="23" fillId="0" borderId="76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center" vertical="center"/>
      <protection/>
    </xf>
    <xf numFmtId="0" fontId="23" fillId="0" borderId="29" xfId="46" applyFont="1" applyBorder="1" applyAlignment="1">
      <alignment horizontal="center" vertical="center"/>
      <protection/>
    </xf>
    <xf numFmtId="0" fontId="23" fillId="0" borderId="30" xfId="46" applyFont="1" applyBorder="1" applyAlignment="1">
      <alignment horizontal="center" vertical="center"/>
      <protection/>
    </xf>
    <xf numFmtId="0" fontId="23" fillId="0" borderId="31" xfId="46" applyFont="1" applyBorder="1" applyAlignment="1">
      <alignment horizontal="center" vertical="center"/>
      <protection/>
    </xf>
    <xf numFmtId="0" fontId="23" fillId="0" borderId="65" xfId="46" applyFont="1" applyBorder="1" applyAlignment="1">
      <alignment horizontal="center" vertical="center"/>
      <protection/>
    </xf>
    <xf numFmtId="0" fontId="19" fillId="0" borderId="77" xfId="46" applyFont="1" applyBorder="1" applyAlignment="1">
      <alignment horizontal="center" vertical="center"/>
      <protection/>
    </xf>
    <xf numFmtId="0" fontId="18" fillId="0" borderId="29" xfId="46" applyFont="1" applyBorder="1" applyAlignment="1">
      <alignment horizontal="center" vertical="center"/>
      <protection/>
    </xf>
    <xf numFmtId="0" fontId="31" fillId="0" borderId="67" xfId="46" applyFont="1" applyBorder="1" applyAlignment="1">
      <alignment horizontal="center" vertical="center"/>
      <protection/>
    </xf>
    <xf numFmtId="0" fontId="31" fillId="0" borderId="68" xfId="46" applyFont="1" applyBorder="1" applyAlignment="1">
      <alignment horizontal="center" vertical="center"/>
      <protection/>
    </xf>
    <xf numFmtId="0" fontId="31" fillId="0" borderId="69" xfId="46" applyFont="1" applyBorder="1" applyAlignment="1">
      <alignment horizontal="center" vertical="center"/>
      <protection/>
    </xf>
    <xf numFmtId="0" fontId="31" fillId="0" borderId="70" xfId="46" applyFont="1" applyBorder="1" applyAlignment="1">
      <alignment horizontal="center" vertical="center"/>
      <protection/>
    </xf>
    <xf numFmtId="0" fontId="31" fillId="0" borderId="0" xfId="46" applyFont="1" applyBorder="1" applyAlignment="1">
      <alignment horizontal="center" vertical="center"/>
      <protection/>
    </xf>
    <xf numFmtId="0" fontId="31" fillId="0" borderId="24" xfId="46" applyFont="1" applyBorder="1" applyAlignment="1">
      <alignment horizontal="center" vertical="center"/>
      <protection/>
    </xf>
    <xf numFmtId="0" fontId="31" fillId="0" borderId="71" xfId="46" applyFont="1" applyBorder="1" applyAlignment="1">
      <alignment horizontal="center" vertical="center"/>
      <protection/>
    </xf>
    <xf numFmtId="0" fontId="31" fillId="0" borderId="72" xfId="46" applyFont="1" applyBorder="1" applyAlignment="1">
      <alignment horizontal="center" vertical="center"/>
      <protection/>
    </xf>
    <xf numFmtId="0" fontId="31" fillId="0" borderId="73" xfId="46" applyFont="1" applyBorder="1" applyAlignment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 hidden="1" locked="0"/>
    </xf>
    <xf numFmtId="0" fontId="3" fillId="0" borderId="78" xfId="0" applyFont="1" applyBorder="1" applyAlignment="1" applyProtection="1">
      <alignment horizontal="center" vertical="center"/>
      <protection hidden="1" locked="0"/>
    </xf>
    <xf numFmtId="0" fontId="4" fillId="0" borderId="79" xfId="0" applyFont="1" applyFill="1" applyBorder="1" applyAlignment="1" applyProtection="1">
      <alignment horizontal="center" vertical="center" wrapText="1"/>
      <protection locked="0"/>
    </xf>
    <xf numFmtId="0" fontId="4" fillId="0" borderId="80" xfId="0" applyFont="1" applyFill="1" applyBorder="1" applyAlignment="1" applyProtection="1">
      <alignment horizontal="center" vertical="center" wrapText="1"/>
      <protection locked="0"/>
    </xf>
    <xf numFmtId="0" fontId="4" fillId="0" borderId="81" xfId="0" applyFont="1" applyFill="1" applyBorder="1" applyAlignment="1" applyProtection="1">
      <alignment horizontal="center" vertical="center" wrapText="1"/>
      <protection locked="0"/>
    </xf>
    <xf numFmtId="0" fontId="4" fillId="0" borderId="82" xfId="0" applyFont="1" applyFill="1" applyBorder="1" applyAlignment="1" applyProtection="1">
      <alignment horizontal="center" vertical="center" wrapText="1"/>
      <protection locked="0"/>
    </xf>
    <xf numFmtId="0" fontId="19" fillId="0" borderId="77" xfId="46" applyFont="1" applyFill="1" applyBorder="1" applyAlignment="1">
      <alignment horizontal="center" vertical="center"/>
      <protection/>
    </xf>
    <xf numFmtId="0" fontId="18" fillId="0" borderId="77" xfId="46" applyFont="1" applyBorder="1" applyAlignment="1">
      <alignment horizontal="center" vertical="center"/>
      <protection/>
    </xf>
    <xf numFmtId="0" fontId="18" fillId="0" borderId="10" xfId="46" applyFont="1" applyBorder="1" applyAlignment="1">
      <alignment horizontal="center" vertical="center"/>
      <protection/>
    </xf>
    <xf numFmtId="0" fontId="13" fillId="35" borderId="33" xfId="49" applyFont="1" applyFill="1" applyBorder="1" applyAlignment="1">
      <alignment horizontal="center" vertical="center"/>
      <protection/>
    </xf>
    <xf numFmtId="0" fontId="13" fillId="35" borderId="38" xfId="49" applyFont="1" applyFill="1" applyBorder="1" applyAlignment="1">
      <alignment horizontal="center" vertical="center"/>
      <protection/>
    </xf>
    <xf numFmtId="0" fontId="13" fillId="35" borderId="43" xfId="49" applyFont="1" applyFill="1" applyBorder="1" applyAlignment="1">
      <alignment horizontal="center" vertical="center"/>
      <protection/>
    </xf>
    <xf numFmtId="0" fontId="8" fillId="35" borderId="37" xfId="0" applyFont="1" applyFill="1" applyBorder="1" applyAlignment="1">
      <alignment horizontal="center"/>
    </xf>
    <xf numFmtId="0" fontId="8" fillId="35" borderId="34" xfId="0" applyFont="1" applyFill="1" applyBorder="1" applyAlignment="1">
      <alignment horizontal="center"/>
    </xf>
    <xf numFmtId="0" fontId="8" fillId="35" borderId="57" xfId="0" applyFont="1" applyFill="1" applyBorder="1" applyAlignment="1">
      <alignment horizontal="center"/>
    </xf>
    <xf numFmtId="20" fontId="15" fillId="43" borderId="53" xfId="49" applyNumberFormat="1" applyFont="1" applyFill="1" applyBorder="1" applyAlignment="1">
      <alignment horizontal="left" vertical="center"/>
      <protection/>
    </xf>
    <xf numFmtId="20" fontId="15" fillId="43" borderId="54" xfId="49" applyNumberFormat="1" applyFont="1" applyFill="1" applyBorder="1" applyAlignment="1">
      <alignment horizontal="left" vertical="center"/>
      <protection/>
    </xf>
    <xf numFmtId="20" fontId="15" fillId="43" borderId="10" xfId="49" applyNumberFormat="1" applyFont="1" applyFill="1" applyBorder="1" applyAlignment="1">
      <alignment horizontal="left" vertical="center"/>
      <protection/>
    </xf>
    <xf numFmtId="20" fontId="15" fillId="44" borderId="37" xfId="49" applyNumberFormat="1" applyFont="1" applyFill="1" applyBorder="1" applyAlignment="1">
      <alignment horizontal="center" vertical="center"/>
      <protection/>
    </xf>
    <xf numFmtId="20" fontId="15" fillId="44" borderId="26" xfId="49" applyNumberFormat="1" applyFont="1" applyFill="1" applyBorder="1" applyAlignment="1">
      <alignment horizontal="center" vertical="center"/>
      <protection/>
    </xf>
    <xf numFmtId="0" fontId="66" fillId="0" borderId="37" xfId="49" applyFont="1" applyBorder="1" applyAlignment="1">
      <alignment horizontal="center" vertical="center"/>
      <protection/>
    </xf>
    <xf numFmtId="0" fontId="66" fillId="0" borderId="34" xfId="49" applyFont="1" applyBorder="1" applyAlignment="1">
      <alignment horizontal="center" vertical="center"/>
      <protection/>
    </xf>
    <xf numFmtId="0" fontId="66" fillId="0" borderId="57" xfId="49" applyFont="1" applyBorder="1" applyAlignment="1">
      <alignment horizontal="center" vertical="center"/>
      <protection/>
    </xf>
    <xf numFmtId="0" fontId="66" fillId="0" borderId="26" xfId="49" applyFont="1" applyBorder="1" applyAlignment="1">
      <alignment horizontal="center" vertical="center"/>
      <protection/>
    </xf>
    <xf numFmtId="0" fontId="66" fillId="0" borderId="0" xfId="49" applyFont="1" applyBorder="1" applyAlignment="1">
      <alignment horizontal="center" vertical="center"/>
      <protection/>
    </xf>
    <xf numFmtId="0" fontId="66" fillId="0" borderId="83" xfId="49" applyFont="1" applyBorder="1" applyAlignment="1">
      <alignment horizontal="center" vertical="center"/>
      <protection/>
    </xf>
    <xf numFmtId="0" fontId="66" fillId="0" borderId="63" xfId="49" applyFont="1" applyBorder="1" applyAlignment="1">
      <alignment horizontal="center" vertical="center"/>
      <protection/>
    </xf>
    <xf numFmtId="0" fontId="66" fillId="0" borderId="78" xfId="49" applyFont="1" applyBorder="1" applyAlignment="1">
      <alignment horizontal="center" vertical="center"/>
      <protection/>
    </xf>
    <xf numFmtId="0" fontId="66" fillId="0" borderId="42" xfId="49" applyFont="1" applyBorder="1" applyAlignment="1">
      <alignment horizontal="center" vertical="center"/>
      <protection/>
    </xf>
    <xf numFmtId="0" fontId="15" fillId="44" borderId="50" xfId="49" applyFont="1" applyFill="1" applyBorder="1" applyAlignment="1">
      <alignment horizontal="center" vertical="center"/>
      <protection/>
    </xf>
    <xf numFmtId="0" fontId="15" fillId="44" borderId="51" xfId="49" applyFont="1" applyFill="1" applyBorder="1" applyAlignment="1">
      <alignment horizontal="center" vertical="center"/>
      <protection/>
    </xf>
    <xf numFmtId="0" fontId="15" fillId="44" borderId="52" xfId="49" applyFont="1" applyFill="1" applyBorder="1" applyAlignment="1">
      <alignment horizontal="center" vertical="center"/>
      <protection/>
    </xf>
    <xf numFmtId="20" fontId="15" fillId="44" borderId="20" xfId="49" applyNumberFormat="1" applyFont="1" applyFill="1" applyBorder="1" applyAlignment="1">
      <alignment horizontal="left" vertical="center"/>
      <protection/>
    </xf>
    <xf numFmtId="20" fontId="15" fillId="44" borderId="63" xfId="49" applyNumberFormat="1" applyFont="1" applyFill="1" applyBorder="1" applyAlignment="1">
      <alignment horizontal="center" vertical="center"/>
      <protection/>
    </xf>
    <xf numFmtId="20" fontId="15" fillId="44" borderId="48" xfId="49" applyNumberFormat="1" applyFont="1" applyFill="1" applyBorder="1" applyAlignment="1">
      <alignment horizontal="left" vertical="center"/>
      <protection/>
    </xf>
    <xf numFmtId="1" fontId="8" fillId="0" borderId="18" xfId="0" applyNumberFormat="1" applyFont="1" applyFill="1" applyBorder="1" applyAlignment="1" applyProtection="1">
      <alignment horizontal="center" vertical="center"/>
      <protection locked="0"/>
    </xf>
    <xf numFmtId="1" fontId="8" fillId="0" borderId="19" xfId="0" applyNumberFormat="1" applyFont="1" applyBorder="1" applyAlignment="1" applyProtection="1">
      <alignment horizontal="center" vertical="center"/>
      <protection locked="0"/>
    </xf>
    <xf numFmtId="1" fontId="67" fillId="45" borderId="20" xfId="0" applyNumberFormat="1" applyFont="1" applyFill="1" applyBorder="1" applyAlignment="1" applyProtection="1">
      <alignment horizontal="center" vertical="center"/>
      <protection hidden="1"/>
    </xf>
    <xf numFmtId="1" fontId="67" fillId="45" borderId="15" xfId="0" applyNumberFormat="1" applyFont="1" applyFill="1" applyBorder="1" applyAlignment="1" applyProtection="1">
      <alignment horizontal="center" vertical="center"/>
      <protection hidden="1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67" fillId="45" borderId="18" xfId="0" applyNumberFormat="1" applyFont="1" applyFill="1" applyBorder="1" applyAlignment="1" applyProtection="1">
      <alignment horizontal="center" vertical="center"/>
      <protection hidden="1"/>
    </xf>
    <xf numFmtId="1" fontId="67" fillId="45" borderId="14" xfId="0" applyNumberFormat="1" applyFont="1" applyFill="1" applyBorder="1" applyAlignment="1" applyProtection="1">
      <alignment horizontal="center" vertical="center"/>
      <protection hidden="1"/>
    </xf>
    <xf numFmtId="1" fontId="67" fillId="45" borderId="22" xfId="0" applyNumberFormat="1" applyFont="1" applyFill="1" applyBorder="1" applyAlignment="1" applyProtection="1">
      <alignment horizontal="center" vertical="center"/>
      <protection hidden="1"/>
    </xf>
    <xf numFmtId="1" fontId="67" fillId="45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/>
    </xf>
    <xf numFmtId="0" fontId="8" fillId="35" borderId="84" xfId="0" applyFont="1" applyFill="1" applyBorder="1" applyAlignment="1">
      <alignment horizontal="center"/>
    </xf>
    <xf numFmtId="0" fontId="0" fillId="36" borderId="33" xfId="0" applyFill="1" applyBorder="1" applyAlignment="1">
      <alignment/>
    </xf>
    <xf numFmtId="0" fontId="0" fillId="36" borderId="43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43" xfId="0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B O C C I A" xfId="46"/>
    <cellStyle name="normálne_Hárok1" xfId="47"/>
    <cellStyle name="Normální 2" xfId="48"/>
    <cellStyle name="Normální 3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581025</xdr:colOff>
      <xdr:row>2</xdr:row>
      <xdr:rowOff>38100</xdr:rowOff>
    </xdr:to>
    <xdr:pic>
      <xdr:nvPicPr>
        <xdr:cNvPr id="1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628650</xdr:colOff>
      <xdr:row>2</xdr:row>
      <xdr:rowOff>180975</xdr:rowOff>
    </xdr:to>
    <xdr:pic>
      <xdr:nvPicPr>
        <xdr:cNvPr id="2" name="Picture 1" descr="BOCCIA ZOM Prešov - logo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ndrej_31.10.2014\boccia\zom%20presov\liga%20boccia%20marec2015_podlipniky\podklady%20k%20turnaju\Vysledky%20-%201.%20ligove%20kolo%20BC3%20-%20Presov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DAJE"/>
      <sheetName val="ZOZNAM"/>
      <sheetName val="SKUPINY"/>
      <sheetName val=" A "/>
      <sheetName val=" B "/>
      <sheetName val="PAVÚK"/>
    </sheetNames>
    <sheetDataSet>
      <sheetData sheetId="1">
        <row r="5">
          <cell r="B5">
            <v>301</v>
          </cell>
          <cell r="C5" t="str">
            <v>Klohna</v>
          </cell>
          <cell r="D5" t="str">
            <v>Boris</v>
          </cell>
          <cell r="E5" t="str">
            <v>Klohna B.</v>
          </cell>
          <cell r="F5" t="str">
            <v>ZOM Prešov</v>
          </cell>
          <cell r="G5" t="str">
            <v>A1</v>
          </cell>
        </row>
        <row r="6">
          <cell r="B6">
            <v>302</v>
          </cell>
          <cell r="C6" t="str">
            <v>Burianek</v>
          </cell>
          <cell r="D6" t="str">
            <v>Adam</v>
          </cell>
          <cell r="E6" t="str">
            <v>Burianek A.</v>
          </cell>
          <cell r="F6" t="str">
            <v>ŠK Altius</v>
          </cell>
          <cell r="G6" t="str">
            <v>A2</v>
          </cell>
        </row>
        <row r="7">
          <cell r="B7">
            <v>303</v>
          </cell>
          <cell r="C7" t="str">
            <v>Košťál</v>
          </cell>
          <cell r="D7" t="str">
            <v>Marián</v>
          </cell>
          <cell r="E7" t="str">
            <v>Košťál M.</v>
          </cell>
          <cell r="F7" t="str">
            <v>ZOM Prešov</v>
          </cell>
          <cell r="G7" t="str">
            <v>A3</v>
          </cell>
        </row>
        <row r="8">
          <cell r="B8">
            <v>304</v>
          </cell>
          <cell r="C8" t="str">
            <v>Tižo</v>
          </cell>
          <cell r="D8" t="str">
            <v>Michal</v>
          </cell>
          <cell r="E8" t="str">
            <v>Tižo M.</v>
          </cell>
          <cell r="F8" t="str">
            <v>OMD v SR</v>
          </cell>
          <cell r="G8" t="str">
            <v>B1</v>
          </cell>
        </row>
        <row r="9">
          <cell r="B9">
            <v>305</v>
          </cell>
          <cell r="C9" t="str">
            <v>Smolková</v>
          </cell>
          <cell r="D9" t="str">
            <v>Mária</v>
          </cell>
          <cell r="E9" t="str">
            <v>Smolková M.</v>
          </cell>
          <cell r="F9" t="str">
            <v>OMD v SR</v>
          </cell>
          <cell r="G9" t="str">
            <v>B2</v>
          </cell>
        </row>
        <row r="10">
          <cell r="B10">
            <v>306</v>
          </cell>
          <cell r="C10" t="str">
            <v>Švarnová</v>
          </cell>
          <cell r="D10" t="str">
            <v>Ľuba</v>
          </cell>
          <cell r="E10" t="str">
            <v>Švarnová Ľ.</v>
          </cell>
          <cell r="F10" t="str">
            <v>OMD v SR</v>
          </cell>
          <cell r="G10" t="str">
            <v>B3</v>
          </cell>
        </row>
        <row r="11">
          <cell r="B11">
            <v>307</v>
          </cell>
          <cell r="E11" t="str">
            <v> .</v>
          </cell>
        </row>
        <row r="12">
          <cell r="B12">
            <v>308</v>
          </cell>
          <cell r="E12" t="str">
            <v> .</v>
          </cell>
        </row>
        <row r="13">
          <cell r="B13">
            <v>309</v>
          </cell>
          <cell r="E13" t="str">
            <v> .</v>
          </cell>
        </row>
        <row r="14">
          <cell r="B14">
            <v>310</v>
          </cell>
          <cell r="E14" t="str">
            <v> .</v>
          </cell>
        </row>
        <row r="15">
          <cell r="B15">
            <v>311</v>
          </cell>
          <cell r="E15" t="str">
            <v> .</v>
          </cell>
        </row>
        <row r="16">
          <cell r="B16">
            <v>312</v>
          </cell>
          <cell r="E16" t="str">
            <v> .</v>
          </cell>
        </row>
        <row r="17">
          <cell r="B17">
            <v>313</v>
          </cell>
          <cell r="E17" t="str">
            <v> .</v>
          </cell>
        </row>
        <row r="18">
          <cell r="B18">
            <v>314</v>
          </cell>
          <cell r="E18" t="str">
            <v> .</v>
          </cell>
        </row>
        <row r="19">
          <cell r="B19">
            <v>315</v>
          </cell>
          <cell r="E19" t="str">
            <v> .</v>
          </cell>
        </row>
        <row r="20">
          <cell r="B20">
            <v>316</v>
          </cell>
          <cell r="E20" t="str">
            <v> .</v>
          </cell>
        </row>
        <row r="21">
          <cell r="B21">
            <v>317</v>
          </cell>
          <cell r="E21" t="str">
            <v> .</v>
          </cell>
        </row>
        <row r="22">
          <cell r="B22">
            <v>318</v>
          </cell>
          <cell r="E22" t="str">
            <v> .</v>
          </cell>
        </row>
        <row r="23">
          <cell r="B23">
            <v>319</v>
          </cell>
          <cell r="E23" t="str">
            <v> .</v>
          </cell>
        </row>
        <row r="24">
          <cell r="B24">
            <v>320</v>
          </cell>
          <cell r="E24" t="str">
            <v> .</v>
          </cell>
        </row>
        <row r="25">
          <cell r="B25">
            <v>321</v>
          </cell>
          <cell r="E25" t="str">
            <v> .</v>
          </cell>
        </row>
        <row r="26">
          <cell r="B26">
            <v>322</v>
          </cell>
          <cell r="E26" t="str">
            <v> .</v>
          </cell>
        </row>
        <row r="27">
          <cell r="B27">
            <v>323</v>
          </cell>
          <cell r="E27" t="str">
            <v> .</v>
          </cell>
        </row>
        <row r="28">
          <cell r="B28">
            <v>324</v>
          </cell>
          <cell r="E28" t="str">
            <v> .</v>
          </cell>
        </row>
        <row r="29">
          <cell r="B29">
            <v>325</v>
          </cell>
          <cell r="E29" t="str">
            <v> .</v>
          </cell>
        </row>
        <row r="30">
          <cell r="B30">
            <v>326</v>
          </cell>
          <cell r="E30" t="str">
            <v> .</v>
          </cell>
        </row>
        <row r="31">
          <cell r="B31">
            <v>327</v>
          </cell>
          <cell r="E31" t="str">
            <v> .</v>
          </cell>
        </row>
        <row r="32">
          <cell r="B32">
            <v>328</v>
          </cell>
          <cell r="E32" t="str">
            <v> .</v>
          </cell>
        </row>
        <row r="33">
          <cell r="B33">
            <v>329</v>
          </cell>
          <cell r="E33" t="str">
            <v> .</v>
          </cell>
        </row>
        <row r="34">
          <cell r="B34">
            <v>330</v>
          </cell>
          <cell r="E34" t="str">
            <v> .</v>
          </cell>
        </row>
        <row r="35">
          <cell r="B35">
            <v>331</v>
          </cell>
          <cell r="E35" t="str">
            <v> .</v>
          </cell>
        </row>
        <row r="36">
          <cell r="B36">
            <v>332</v>
          </cell>
          <cell r="E36" t="str">
            <v> .</v>
          </cell>
        </row>
        <row r="37">
          <cell r="B37">
            <v>333</v>
          </cell>
          <cell r="E37" t="str">
            <v> .</v>
          </cell>
        </row>
        <row r="38">
          <cell r="B38">
            <v>334</v>
          </cell>
          <cell r="E38" t="str">
            <v> .</v>
          </cell>
        </row>
        <row r="39">
          <cell r="B39">
            <v>335</v>
          </cell>
          <cell r="E39" t="str">
            <v> .</v>
          </cell>
        </row>
        <row r="40">
          <cell r="B40">
            <v>336</v>
          </cell>
          <cell r="E40" t="str">
            <v> .</v>
          </cell>
        </row>
        <row r="41">
          <cell r="B41">
            <v>337</v>
          </cell>
          <cell r="E41" t="str">
            <v> 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O25" sqref="O24:Q25"/>
    </sheetView>
  </sheetViews>
  <sheetFormatPr defaultColWidth="9.140625" defaultRowHeight="15"/>
  <cols>
    <col min="1" max="1" width="12.421875" style="33" customWidth="1"/>
    <col min="2" max="2" width="6.140625" style="33" customWidth="1"/>
    <col min="3" max="3" width="17.8515625" style="33" customWidth="1"/>
    <col min="4" max="4" width="5.00390625" style="33" customWidth="1"/>
    <col min="5" max="5" width="19.8515625" style="33" customWidth="1"/>
    <col min="6" max="6" width="20.28125" style="33" customWidth="1"/>
    <col min="7" max="7" width="9.140625" style="33" customWidth="1"/>
    <col min="8" max="8" width="19.140625" style="33" bestFit="1" customWidth="1"/>
    <col min="9" max="16384" width="9.140625" style="33" customWidth="1"/>
  </cols>
  <sheetData>
    <row r="1" spans="1:7" ht="15.75">
      <c r="A1" s="191" t="s">
        <v>31</v>
      </c>
      <c r="B1" s="191"/>
      <c r="C1" s="191"/>
      <c r="D1" s="191"/>
      <c r="E1" s="191"/>
      <c r="F1" s="191"/>
      <c r="G1" s="144"/>
    </row>
    <row r="2" spans="1:7" ht="15.75">
      <c r="A2" s="191" t="s">
        <v>32</v>
      </c>
      <c r="B2" s="191"/>
      <c r="C2" s="191"/>
      <c r="D2" s="191"/>
      <c r="E2" s="191"/>
      <c r="F2" s="191"/>
      <c r="G2" s="144"/>
    </row>
    <row r="3" spans="1:7" ht="15.75">
      <c r="A3" s="191" t="s">
        <v>33</v>
      </c>
      <c r="B3" s="191"/>
      <c r="C3" s="191"/>
      <c r="D3" s="191"/>
      <c r="E3" s="191"/>
      <c r="F3" s="191"/>
      <c r="G3" s="144"/>
    </row>
    <row r="4" spans="3:6" ht="12.75">
      <c r="C4" s="34"/>
      <c r="D4" s="34"/>
      <c r="E4" s="34"/>
      <c r="F4" s="34"/>
    </row>
    <row r="5" spans="1:6" ht="12.75">
      <c r="A5" s="190" t="s">
        <v>52</v>
      </c>
      <c r="C5" s="34"/>
      <c r="D5" s="34"/>
      <c r="E5" s="34"/>
      <c r="F5" s="34"/>
    </row>
    <row r="6" spans="1:6" ht="13.5" thickBot="1">
      <c r="A6" s="190"/>
      <c r="B6" s="34"/>
      <c r="C6" s="34"/>
      <c r="D6" s="34"/>
      <c r="E6" s="34"/>
      <c r="F6" s="34"/>
    </row>
    <row r="7" spans="1:6" ht="13.5" thickBot="1">
      <c r="A7" s="145" t="s">
        <v>67</v>
      </c>
      <c r="B7" s="187" t="s">
        <v>119</v>
      </c>
      <c r="C7" s="188"/>
      <c r="D7" s="188"/>
      <c r="E7" s="188"/>
      <c r="F7" s="189"/>
    </row>
    <row r="8" spans="1:6" ht="12.75">
      <c r="A8" s="146" t="s">
        <v>103</v>
      </c>
      <c r="B8" s="149">
        <v>101</v>
      </c>
      <c r="C8" s="150" t="s">
        <v>66</v>
      </c>
      <c r="D8" s="150" t="s">
        <v>22</v>
      </c>
      <c r="E8" s="150" t="s">
        <v>35</v>
      </c>
      <c r="F8" s="151" t="s">
        <v>36</v>
      </c>
    </row>
    <row r="9" spans="1:6" ht="12.75">
      <c r="A9" s="147" t="s">
        <v>103</v>
      </c>
      <c r="B9" s="152">
        <v>102</v>
      </c>
      <c r="C9" s="153" t="s">
        <v>18</v>
      </c>
      <c r="D9" s="153" t="s">
        <v>22</v>
      </c>
      <c r="E9" s="153" t="s">
        <v>35</v>
      </c>
      <c r="F9" s="154" t="s">
        <v>36</v>
      </c>
    </row>
    <row r="10" spans="1:6" ht="12.75">
      <c r="A10" s="147" t="s">
        <v>103</v>
      </c>
      <c r="B10" s="152">
        <v>103</v>
      </c>
      <c r="C10" s="153" t="s">
        <v>19</v>
      </c>
      <c r="D10" s="153" t="s">
        <v>22</v>
      </c>
      <c r="E10" s="153" t="s">
        <v>39</v>
      </c>
      <c r="F10" s="154" t="s">
        <v>40</v>
      </c>
    </row>
    <row r="11" spans="1:6" ht="13.5" thickBot="1">
      <c r="A11" s="148" t="s">
        <v>103</v>
      </c>
      <c r="B11" s="155">
        <v>104</v>
      </c>
      <c r="C11" s="156" t="s">
        <v>20</v>
      </c>
      <c r="D11" s="156" t="s">
        <v>22</v>
      </c>
      <c r="E11" s="156" t="s">
        <v>39</v>
      </c>
      <c r="F11" s="157" t="s">
        <v>36</v>
      </c>
    </row>
    <row r="12" spans="1:6" ht="13.5" thickBot="1">
      <c r="A12" s="145" t="s">
        <v>67</v>
      </c>
      <c r="B12" s="187" t="s">
        <v>120</v>
      </c>
      <c r="C12" s="188"/>
      <c r="D12" s="188"/>
      <c r="E12" s="188"/>
      <c r="F12" s="189"/>
    </row>
    <row r="13" spans="1:6" ht="12.75">
      <c r="A13" s="146" t="s">
        <v>114</v>
      </c>
      <c r="B13" s="158">
        <v>201</v>
      </c>
      <c r="C13" s="159" t="s">
        <v>64</v>
      </c>
      <c r="D13" s="159" t="s">
        <v>23</v>
      </c>
      <c r="E13" s="159" t="s">
        <v>35</v>
      </c>
      <c r="F13" s="160" t="s">
        <v>36</v>
      </c>
    </row>
    <row r="14" spans="1:6" ht="12.75">
      <c r="A14" s="147" t="s">
        <v>112</v>
      </c>
      <c r="B14" s="161">
        <v>202</v>
      </c>
      <c r="C14" s="162" t="s">
        <v>25</v>
      </c>
      <c r="D14" s="162" t="s">
        <v>23</v>
      </c>
      <c r="E14" s="162" t="s">
        <v>41</v>
      </c>
      <c r="F14" s="163" t="s">
        <v>42</v>
      </c>
    </row>
    <row r="15" spans="1:6" ht="12.75">
      <c r="A15" s="147" t="s">
        <v>115</v>
      </c>
      <c r="B15" s="161">
        <v>203</v>
      </c>
      <c r="C15" s="162" t="s">
        <v>26</v>
      </c>
      <c r="D15" s="162" t="s">
        <v>23</v>
      </c>
      <c r="E15" s="162" t="s">
        <v>35</v>
      </c>
      <c r="F15" s="163" t="s">
        <v>36</v>
      </c>
    </row>
    <row r="16" spans="1:6" ht="12.75">
      <c r="A16" s="147" t="s">
        <v>113</v>
      </c>
      <c r="B16" s="161">
        <v>204</v>
      </c>
      <c r="C16" s="162" t="s">
        <v>27</v>
      </c>
      <c r="D16" s="162" t="s">
        <v>23</v>
      </c>
      <c r="E16" s="162" t="s">
        <v>35</v>
      </c>
      <c r="F16" s="163" t="s">
        <v>36</v>
      </c>
    </row>
    <row r="17" spans="1:6" ht="12.75">
      <c r="A17" s="147" t="s">
        <v>110</v>
      </c>
      <c r="B17" s="161">
        <v>205</v>
      </c>
      <c r="C17" s="162" t="s">
        <v>65</v>
      </c>
      <c r="D17" s="162" t="s">
        <v>23</v>
      </c>
      <c r="E17" s="162" t="s">
        <v>43</v>
      </c>
      <c r="F17" s="163" t="s">
        <v>44</v>
      </c>
    </row>
    <row r="18" spans="1:6" ht="13.5" thickBot="1">
      <c r="A18" s="148" t="s">
        <v>111</v>
      </c>
      <c r="B18" s="164">
        <v>206</v>
      </c>
      <c r="C18" s="165" t="s">
        <v>107</v>
      </c>
      <c r="D18" s="165" t="s">
        <v>23</v>
      </c>
      <c r="E18" s="165" t="s">
        <v>116</v>
      </c>
      <c r="F18" s="166" t="s">
        <v>117</v>
      </c>
    </row>
    <row r="19" spans="1:6" ht="13.5" thickBot="1">
      <c r="A19" s="145" t="s">
        <v>67</v>
      </c>
      <c r="B19" s="187" t="s">
        <v>121</v>
      </c>
      <c r="C19" s="188"/>
      <c r="D19" s="188"/>
      <c r="E19" s="188"/>
      <c r="F19" s="189"/>
    </row>
    <row r="20" spans="1:6" ht="12.75">
      <c r="A20" s="146" t="s">
        <v>115</v>
      </c>
      <c r="B20" s="167">
        <v>301</v>
      </c>
      <c r="C20" s="168" t="s">
        <v>46</v>
      </c>
      <c r="D20" s="168" t="s">
        <v>28</v>
      </c>
      <c r="E20" s="168" t="s">
        <v>41</v>
      </c>
      <c r="F20" s="169" t="s">
        <v>42</v>
      </c>
    </row>
    <row r="21" spans="1:6" ht="12.75">
      <c r="A21" s="147" t="s">
        <v>111</v>
      </c>
      <c r="B21" s="170">
        <v>302</v>
      </c>
      <c r="C21" s="171" t="s">
        <v>47</v>
      </c>
      <c r="D21" s="171" t="s">
        <v>28</v>
      </c>
      <c r="E21" s="171" t="s">
        <v>41</v>
      </c>
      <c r="F21" s="172" t="s">
        <v>42</v>
      </c>
    </row>
    <row r="22" spans="1:6" ht="12.75">
      <c r="A22" s="147" t="s">
        <v>114</v>
      </c>
      <c r="B22" s="170">
        <v>303</v>
      </c>
      <c r="C22" s="171" t="s">
        <v>48</v>
      </c>
      <c r="D22" s="171" t="s">
        <v>28</v>
      </c>
      <c r="E22" s="171" t="s">
        <v>39</v>
      </c>
      <c r="F22" s="172" t="s">
        <v>40</v>
      </c>
    </row>
    <row r="23" spans="1:6" ht="12.75">
      <c r="A23" s="147" t="s">
        <v>113</v>
      </c>
      <c r="B23" s="170">
        <v>304</v>
      </c>
      <c r="C23" s="171" t="s">
        <v>49</v>
      </c>
      <c r="D23" s="171" t="s">
        <v>28</v>
      </c>
      <c r="E23" s="171" t="s">
        <v>35</v>
      </c>
      <c r="F23" s="172" t="s">
        <v>36</v>
      </c>
    </row>
    <row r="24" spans="1:6" ht="12.75">
      <c r="A24" s="147" t="s">
        <v>110</v>
      </c>
      <c r="B24" s="170">
        <v>305</v>
      </c>
      <c r="C24" s="171" t="s">
        <v>50</v>
      </c>
      <c r="D24" s="171" t="s">
        <v>28</v>
      </c>
      <c r="E24" s="171" t="s">
        <v>39</v>
      </c>
      <c r="F24" s="172" t="s">
        <v>40</v>
      </c>
    </row>
    <row r="25" spans="1:6" ht="13.5" thickBot="1">
      <c r="A25" s="148" t="s">
        <v>112</v>
      </c>
      <c r="B25" s="173">
        <v>306</v>
      </c>
      <c r="C25" s="174" t="s">
        <v>51</v>
      </c>
      <c r="D25" s="174" t="s">
        <v>28</v>
      </c>
      <c r="E25" s="174" t="s">
        <v>39</v>
      </c>
      <c r="F25" s="175" t="s">
        <v>36</v>
      </c>
    </row>
    <row r="26" spans="1:6" ht="13.5" thickBot="1">
      <c r="A26" s="145" t="s">
        <v>67</v>
      </c>
      <c r="B26" s="187" t="s">
        <v>122</v>
      </c>
      <c r="C26" s="188"/>
      <c r="D26" s="188"/>
      <c r="E26" s="188"/>
      <c r="F26" s="189"/>
    </row>
    <row r="27" spans="1:6" ht="12.75">
      <c r="A27" s="146" t="s">
        <v>112</v>
      </c>
      <c r="B27" s="176">
        <v>401</v>
      </c>
      <c r="C27" s="177" t="s">
        <v>53</v>
      </c>
      <c r="D27" s="177" t="s">
        <v>45</v>
      </c>
      <c r="E27" s="177" t="s">
        <v>41</v>
      </c>
      <c r="F27" s="178" t="s">
        <v>42</v>
      </c>
    </row>
    <row r="28" spans="1:6" ht="12.75">
      <c r="A28" s="147" t="s">
        <v>124</v>
      </c>
      <c r="B28" s="179">
        <v>402</v>
      </c>
      <c r="C28" s="180" t="s">
        <v>54</v>
      </c>
      <c r="D28" s="180" t="s">
        <v>45</v>
      </c>
      <c r="E28" s="180" t="s">
        <v>41</v>
      </c>
      <c r="F28" s="181" t="s">
        <v>42</v>
      </c>
    </row>
    <row r="29" spans="1:6" ht="12.75">
      <c r="A29" s="147" t="s">
        <v>110</v>
      </c>
      <c r="B29" s="179">
        <v>403</v>
      </c>
      <c r="C29" s="180" t="s">
        <v>55</v>
      </c>
      <c r="D29" s="180" t="s">
        <v>45</v>
      </c>
      <c r="E29" s="180" t="s">
        <v>43</v>
      </c>
      <c r="F29" s="181" t="s">
        <v>44</v>
      </c>
    </row>
    <row r="30" spans="1:6" ht="12.75">
      <c r="A30" s="147" t="s">
        <v>113</v>
      </c>
      <c r="B30" s="179">
        <v>404</v>
      </c>
      <c r="C30" s="180" t="s">
        <v>56</v>
      </c>
      <c r="D30" s="180" t="s">
        <v>45</v>
      </c>
      <c r="E30" s="180" t="s">
        <v>35</v>
      </c>
      <c r="F30" s="181" t="s">
        <v>36</v>
      </c>
    </row>
    <row r="31" spans="1:6" ht="12.75">
      <c r="A31" s="147" t="s">
        <v>123</v>
      </c>
      <c r="B31" s="179">
        <v>405</v>
      </c>
      <c r="C31" s="180" t="s">
        <v>57</v>
      </c>
      <c r="D31" s="180" t="s">
        <v>45</v>
      </c>
      <c r="E31" s="180" t="s">
        <v>35</v>
      </c>
      <c r="F31" s="181" t="s">
        <v>36</v>
      </c>
    </row>
    <row r="32" spans="1:6" ht="12.75">
      <c r="A32" s="147" t="s">
        <v>115</v>
      </c>
      <c r="B32" s="179">
        <v>406</v>
      </c>
      <c r="C32" s="180" t="s">
        <v>58</v>
      </c>
      <c r="D32" s="180" t="s">
        <v>45</v>
      </c>
      <c r="E32" s="180" t="s">
        <v>35</v>
      </c>
      <c r="F32" s="181" t="s">
        <v>36</v>
      </c>
    </row>
    <row r="33" spans="1:6" ht="12.75">
      <c r="A33" s="147" t="s">
        <v>111</v>
      </c>
      <c r="B33" s="179">
        <v>407</v>
      </c>
      <c r="C33" s="180" t="s">
        <v>59</v>
      </c>
      <c r="D33" s="180" t="s">
        <v>45</v>
      </c>
      <c r="E33" s="180" t="s">
        <v>35</v>
      </c>
      <c r="F33" s="181" t="s">
        <v>36</v>
      </c>
    </row>
    <row r="34" spans="1:6" ht="12.75">
      <c r="A34" s="147" t="s">
        <v>126</v>
      </c>
      <c r="B34" s="179">
        <v>408</v>
      </c>
      <c r="C34" s="180" t="s">
        <v>60</v>
      </c>
      <c r="D34" s="180" t="s">
        <v>45</v>
      </c>
      <c r="E34" s="180" t="s">
        <v>41</v>
      </c>
      <c r="F34" s="181" t="s">
        <v>42</v>
      </c>
    </row>
    <row r="35" spans="1:6" ht="12.75">
      <c r="A35" s="147" t="s">
        <v>114</v>
      </c>
      <c r="B35" s="179">
        <v>409</v>
      </c>
      <c r="C35" s="180" t="s">
        <v>61</v>
      </c>
      <c r="D35" s="180" t="s">
        <v>45</v>
      </c>
      <c r="E35" s="180" t="s">
        <v>39</v>
      </c>
      <c r="F35" s="181" t="s">
        <v>36</v>
      </c>
    </row>
    <row r="36" spans="1:6" ht="12.75">
      <c r="A36" s="147" t="s">
        <v>127</v>
      </c>
      <c r="B36" s="179">
        <v>410</v>
      </c>
      <c r="C36" s="180" t="s">
        <v>62</v>
      </c>
      <c r="D36" s="180" t="s">
        <v>45</v>
      </c>
      <c r="E36" s="180" t="s">
        <v>39</v>
      </c>
      <c r="F36" s="181" t="s">
        <v>36</v>
      </c>
    </row>
    <row r="37" spans="1:6" ht="13.5" thickBot="1">
      <c r="A37" s="148" t="s">
        <v>125</v>
      </c>
      <c r="B37" s="182">
        <v>411</v>
      </c>
      <c r="C37" s="183" t="s">
        <v>63</v>
      </c>
      <c r="D37" s="183" t="s">
        <v>45</v>
      </c>
      <c r="E37" s="183" t="s">
        <v>39</v>
      </c>
      <c r="F37" s="184" t="s">
        <v>36</v>
      </c>
    </row>
  </sheetData>
  <sheetProtection/>
  <mergeCells count="8">
    <mergeCell ref="B19:F19"/>
    <mergeCell ref="B26:F26"/>
    <mergeCell ref="A5:A6"/>
    <mergeCell ref="A1:F1"/>
    <mergeCell ref="A2:F2"/>
    <mergeCell ref="A3:F3"/>
    <mergeCell ref="B7:F7"/>
    <mergeCell ref="B12:F12"/>
  </mergeCells>
  <printOptions horizontalCentered="1"/>
  <pageMargins left="0.3937007874015748" right="0.3937007874015748" top="0.1968503937007874" bottom="0.984251968503937" header="0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zoomScalePageLayoutView="0" workbookViewId="0" topLeftCell="A8">
      <selection activeCell="I13" sqref="I13:J13"/>
    </sheetView>
  </sheetViews>
  <sheetFormatPr defaultColWidth="9.140625" defaultRowHeight="15"/>
  <cols>
    <col min="1" max="1" width="4.7109375" style="0" customWidth="1"/>
    <col min="2" max="2" width="17.00390625" style="2" customWidth="1"/>
    <col min="3" max="3" width="6.57421875" style="2" customWidth="1"/>
    <col min="4" max="4" width="5.7109375" style="2" customWidth="1"/>
    <col min="5" max="5" width="5.7109375" style="2" hidden="1" customWidth="1"/>
    <col min="6" max="7" width="5.7109375" style="2" customWidth="1"/>
    <col min="8" max="8" width="5.7109375" style="2" hidden="1" customWidth="1"/>
    <col min="9" max="10" width="5.7109375" style="2" customWidth="1"/>
    <col min="11" max="11" width="5.7109375" style="2" hidden="1" customWidth="1"/>
    <col min="12" max="13" width="5.7109375" style="2" customWidth="1"/>
    <col min="14" max="14" width="5.7109375" style="2" hidden="1" customWidth="1"/>
    <col min="15" max="17" width="3.7109375" style="2" customWidth="1"/>
    <col min="18" max="18" width="5.28125" style="2" customWidth="1"/>
    <col min="19" max="20" width="4.7109375" style="2" customWidth="1"/>
    <col min="21" max="21" width="3.7109375" style="2" customWidth="1"/>
    <col min="22" max="22" width="4.57421875" style="2" customWidth="1"/>
    <col min="23" max="23" width="3.7109375" style="2" customWidth="1"/>
    <col min="24" max="24" width="4.421875" style="2" customWidth="1"/>
    <col min="25" max="25" width="3.7109375" style="2" customWidth="1"/>
    <col min="26" max="26" width="4.421875" style="2" customWidth="1"/>
    <col min="27" max="27" width="12.00390625" style="2" hidden="1" customWidth="1"/>
    <col min="28" max="28" width="4.7109375" style="2" customWidth="1"/>
    <col min="29" max="29" width="11.7109375" style="2" customWidth="1"/>
    <col min="30" max="31" width="4.7109375" style="2" customWidth="1"/>
    <col min="32" max="42" width="4.7109375" style="0" customWidth="1"/>
  </cols>
  <sheetData>
    <row r="1" spans="1:31" ht="16.5" customHeight="1">
      <c r="A1" s="192" t="s">
        <v>7</v>
      </c>
      <c r="B1" s="193"/>
      <c r="C1" s="193"/>
      <c r="D1" s="193"/>
      <c r="E1" s="194"/>
      <c r="F1" s="219" t="s">
        <v>81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E1"/>
    </row>
    <row r="2" spans="1:31" ht="16.5" customHeight="1">
      <c r="A2" s="192" t="s">
        <v>8</v>
      </c>
      <c r="B2" s="193"/>
      <c r="C2" s="193"/>
      <c r="D2" s="193"/>
      <c r="E2" s="194"/>
      <c r="F2" s="240">
        <v>42161</v>
      </c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E2"/>
    </row>
    <row r="3" spans="1:31" ht="16.5" customHeight="1">
      <c r="A3" s="192" t="s">
        <v>9</v>
      </c>
      <c r="B3" s="193"/>
      <c r="C3" s="193"/>
      <c r="D3" s="193"/>
      <c r="E3" s="194"/>
      <c r="F3" s="219" t="s">
        <v>30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E3"/>
    </row>
    <row r="4" spans="1:31" ht="16.5" customHeight="1">
      <c r="A4" s="192" t="s">
        <v>13</v>
      </c>
      <c r="B4" s="193"/>
      <c r="C4" s="193"/>
      <c r="D4" s="193"/>
      <c r="E4" s="194"/>
      <c r="F4" s="219" t="s">
        <v>16</v>
      </c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E4"/>
    </row>
    <row r="5" spans="1:31" ht="16.5" customHeight="1">
      <c r="A5" s="192" t="s">
        <v>11</v>
      </c>
      <c r="B5" s="193"/>
      <c r="C5" s="193"/>
      <c r="D5" s="193"/>
      <c r="E5" s="194"/>
      <c r="F5" s="219">
        <v>4</v>
      </c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E5"/>
    </row>
    <row r="6" spans="1:31" ht="16.5" customHeight="1">
      <c r="A6" s="192" t="s">
        <v>12</v>
      </c>
      <c r="B6" s="193"/>
      <c r="C6" s="193"/>
      <c r="D6" s="193"/>
      <c r="E6" s="194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E6"/>
    </row>
    <row r="7" spans="1:31" ht="16.5" customHeight="1">
      <c r="A7" s="192" t="s">
        <v>10</v>
      </c>
      <c r="B7" s="193"/>
      <c r="C7" s="193"/>
      <c r="D7" s="193"/>
      <c r="E7" s="194"/>
      <c r="F7" s="219" t="s">
        <v>14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E7"/>
    </row>
    <row r="8" ht="15.75" thickBot="1"/>
    <row r="9" spans="1:29" ht="15" customHeight="1" thickBot="1">
      <c r="A9" s="235" t="s">
        <v>118</v>
      </c>
      <c r="B9" s="236"/>
      <c r="C9" s="204">
        <f>A11</f>
        <v>101</v>
      </c>
      <c r="D9" s="205"/>
      <c r="E9" s="47"/>
      <c r="F9" s="205">
        <f>A12</f>
        <v>102</v>
      </c>
      <c r="G9" s="205"/>
      <c r="H9" s="47"/>
      <c r="I9" s="205">
        <f>A13</f>
        <v>103</v>
      </c>
      <c r="J9" s="205"/>
      <c r="K9" s="47"/>
      <c r="L9" s="205">
        <f>A14</f>
        <v>104</v>
      </c>
      <c r="M9" s="232"/>
      <c r="N9" s="45"/>
      <c r="O9" s="224" t="s">
        <v>0</v>
      </c>
      <c r="P9" s="233"/>
      <c r="Q9" s="224" t="s">
        <v>3</v>
      </c>
      <c r="R9" s="225"/>
      <c r="S9" s="248" t="s">
        <v>1</v>
      </c>
      <c r="T9" s="225"/>
      <c r="U9" s="248" t="s">
        <v>4</v>
      </c>
      <c r="V9" s="233"/>
      <c r="W9" s="224" t="s">
        <v>5</v>
      </c>
      <c r="X9" s="233"/>
      <c r="Y9" s="224" t="s">
        <v>6</v>
      </c>
      <c r="Z9" s="225"/>
      <c r="AA9" s="46"/>
      <c r="AB9" s="228" t="s">
        <v>2</v>
      </c>
      <c r="AC9" s="229"/>
    </row>
    <row r="10" spans="1:31" s="1" customFormat="1" ht="57.75" customHeight="1" thickBot="1">
      <c r="A10" s="237"/>
      <c r="B10" s="238"/>
      <c r="C10" s="217" t="str">
        <f>B11</f>
        <v>Lukáš Baláži</v>
      </c>
      <c r="D10" s="218"/>
      <c r="E10" s="42" t="s">
        <v>21</v>
      </c>
      <c r="F10" s="218" t="str">
        <f>B12</f>
        <v>Jakub Nagy</v>
      </c>
      <c r="G10" s="218"/>
      <c r="H10" s="42" t="s">
        <v>21</v>
      </c>
      <c r="I10" s="218" t="str">
        <f>B13</f>
        <v>Alexander Chudík</v>
      </c>
      <c r="J10" s="218"/>
      <c r="K10" s="42" t="s">
        <v>21</v>
      </c>
      <c r="L10" s="218" t="str">
        <f>B14</f>
        <v>Martin Benčat</v>
      </c>
      <c r="M10" s="239"/>
      <c r="N10" s="43" t="s">
        <v>21</v>
      </c>
      <c r="O10" s="226"/>
      <c r="P10" s="234"/>
      <c r="Q10" s="226"/>
      <c r="R10" s="227"/>
      <c r="S10" s="249"/>
      <c r="T10" s="227"/>
      <c r="U10" s="249"/>
      <c r="V10" s="234"/>
      <c r="W10" s="226"/>
      <c r="X10" s="234"/>
      <c r="Y10" s="226"/>
      <c r="Z10" s="227"/>
      <c r="AA10" s="44"/>
      <c r="AB10" s="230"/>
      <c r="AC10" s="231"/>
      <c r="AD10" s="3"/>
      <c r="AE10" s="3"/>
    </row>
    <row r="11" spans="1:29" ht="30" customHeight="1">
      <c r="A11" s="48">
        <f>'zoznam hracov'!B8</f>
        <v>101</v>
      </c>
      <c r="B11" s="61" t="s">
        <v>17</v>
      </c>
      <c r="C11" s="244"/>
      <c r="D11" s="245"/>
      <c r="E11" s="18"/>
      <c r="F11" s="28">
        <v>2</v>
      </c>
      <c r="G11" s="327">
        <v>2</v>
      </c>
      <c r="H11" s="28"/>
      <c r="I11" s="28">
        <v>12</v>
      </c>
      <c r="J11" s="28">
        <v>0</v>
      </c>
      <c r="K11" s="28"/>
      <c r="L11" s="28">
        <v>6</v>
      </c>
      <c r="M11" s="29">
        <v>3</v>
      </c>
      <c r="N11" s="10"/>
      <c r="O11" s="208">
        <f>IF(SUM(C11:N11)=0,"",IF($C11&gt;$D11,1,0)+IF($F11&gt;$G11,1,0)+IF($I11&gt;$J11,1,0)+IF($L11&gt;$M11,1,0)+$E11+$H11+$K11+$N11)</f>
        <v>2</v>
      </c>
      <c r="P11" s="208"/>
      <c r="Q11" s="211">
        <f>IF(SUM(C11:N11)=0,"",IF(C11="",0,1)+IF(F11="",0,1)+IF(I11="",0,1)+IF(L11="",0,1))</f>
        <v>3</v>
      </c>
      <c r="R11" s="212"/>
      <c r="S11" s="11">
        <f aca="true" t="shared" si="0" ref="S11:T13">IF(AND(C11="",F11="",I11="",L11=""),"",N(C11)+N(F11)+N(I11)+N(L11))</f>
        <v>20</v>
      </c>
      <c r="T11" s="14">
        <f t="shared" si="0"/>
        <v>5</v>
      </c>
      <c r="U11" s="215">
        <f>IF(Q11="","",ROUND(O11/Q11,2))</f>
        <v>0.67</v>
      </c>
      <c r="V11" s="196"/>
      <c r="W11" s="196">
        <f>IF(Q11="","",ROUND((S11-T11)/Q11,2))</f>
        <v>5</v>
      </c>
      <c r="X11" s="196"/>
      <c r="Y11" s="196">
        <f>IF(Q11="","",ROUND(S11/Q11,2))</f>
        <v>6.67</v>
      </c>
      <c r="Z11" s="197"/>
      <c r="AA11" s="6">
        <f>IF(SUM(C11:N11)=0,0,U11*1000000+W11*1000+Y11)</f>
        <v>675006.67</v>
      </c>
      <c r="AB11" s="222">
        <f>IF(AA11=0,"",IF(LARGE($AA$11:$AA$14,1)=AA11,1,IF(LARGE($AA$11:$AA$14,2)=AA11,2,IF(LARGE($AA$11:$AA$14,3)=AA11,3,IF(LARGE($AA$11:$AA$14,4)=AA11,4,-1)))))</f>
        <v>2</v>
      </c>
      <c r="AC11" s="223"/>
    </row>
    <row r="12" spans="1:29" ht="30" customHeight="1">
      <c r="A12" s="49">
        <f>'zoznam hracov'!B9</f>
        <v>102</v>
      </c>
      <c r="B12" s="64" t="s">
        <v>18</v>
      </c>
      <c r="C12" s="328">
        <f>IF(G11="","",G11)</f>
        <v>2</v>
      </c>
      <c r="D12" s="20">
        <f>IF(F11="","",F11)</f>
        <v>2</v>
      </c>
      <c r="E12" s="20">
        <v>1</v>
      </c>
      <c r="F12" s="242"/>
      <c r="G12" s="243"/>
      <c r="H12" s="21"/>
      <c r="I12" s="30">
        <v>10</v>
      </c>
      <c r="J12" s="30">
        <v>1</v>
      </c>
      <c r="K12" s="30"/>
      <c r="L12" s="30">
        <v>4</v>
      </c>
      <c r="M12" s="31">
        <v>2</v>
      </c>
      <c r="N12" s="7"/>
      <c r="O12" s="209">
        <f>IF(SUM(C12:N12)=0,"",IF($C12&gt;$D12,1,0)+IF($F12&gt;$G12,1,0)+IF($I12&gt;$J12,1,0)+IF($L12&gt;$M12,1,0)+$E12+$H12+$K12+$N12)</f>
        <v>3</v>
      </c>
      <c r="P12" s="209"/>
      <c r="Q12" s="213">
        <f>IF(SUM(C12:N12)=0,"",IF(C12="",0,1)+IF(F12="",0,1)+IF(I12="",0,1)+IF(L12="",0,1))</f>
        <v>3</v>
      </c>
      <c r="R12" s="214"/>
      <c r="S12" s="12">
        <f t="shared" si="0"/>
        <v>16</v>
      </c>
      <c r="T12" s="15">
        <f t="shared" si="0"/>
        <v>5</v>
      </c>
      <c r="U12" s="216">
        <f>IF(Q12="","",ROUND(O12/Q12,2))</f>
        <v>1</v>
      </c>
      <c r="V12" s="198"/>
      <c r="W12" s="198">
        <f>IF(Q12="","",ROUND((S12-T12)/Q12,2))</f>
        <v>3.67</v>
      </c>
      <c r="X12" s="198"/>
      <c r="Y12" s="198">
        <f>IF(Q12="","",ROUND(S12/Q12,2))</f>
        <v>5.33</v>
      </c>
      <c r="Z12" s="199"/>
      <c r="AA12" s="4">
        <f>IF(SUM(C12:N12)=0,0,U12*1000000+W12*1000+Y12)</f>
        <v>1003675.33</v>
      </c>
      <c r="AB12" s="220">
        <f>IF(AA12=0,"",IF(LARGE($AA$11:$AA$14,1)=AA12,1,IF(LARGE($AA$11:$AA$14,2)=AA12,2,IF(LARGE($AA$11:$AA$14,3)=AA12,3,IF(LARGE($AA$11:$AA$14,4)=AA12,4,-1)))))</f>
        <v>1</v>
      </c>
      <c r="AC12" s="221"/>
    </row>
    <row r="13" spans="1:29" ht="30" customHeight="1">
      <c r="A13" s="49">
        <f>'zoznam hracov'!B10</f>
        <v>103</v>
      </c>
      <c r="B13" s="64" t="s">
        <v>19</v>
      </c>
      <c r="C13" s="19">
        <f>IF(J11="","",J11)</f>
        <v>0</v>
      </c>
      <c r="D13" s="20">
        <f>IF(I11="","",I11)</f>
        <v>12</v>
      </c>
      <c r="E13" s="20"/>
      <c r="F13" s="20">
        <f>IF(J12="","",J12)</f>
        <v>1</v>
      </c>
      <c r="G13" s="20">
        <f>IF(I12="","",I12)</f>
        <v>10</v>
      </c>
      <c r="H13" s="20"/>
      <c r="I13" s="242"/>
      <c r="J13" s="243"/>
      <c r="K13" s="21"/>
      <c r="L13" s="30">
        <v>1</v>
      </c>
      <c r="M13" s="31">
        <v>12</v>
      </c>
      <c r="N13" s="7"/>
      <c r="O13" s="209">
        <f>IF(SUM(C13:N13)=0,"",IF($C13&gt;$D13,1,0)+IF($F13&gt;$G13,1,0)+IF($I13&gt;$J13,1,0)+IF($L13&gt;$M13,1,0)+$E13+$H13+$K13+$N13)</f>
        <v>0</v>
      </c>
      <c r="P13" s="209"/>
      <c r="Q13" s="213">
        <f>IF(SUM(C13:N13)=0,"",IF(C13="",0,1)+IF(F13="",0,1)+IF(I13="",0,1)+IF(L13="",0,1))</f>
        <v>3</v>
      </c>
      <c r="R13" s="214"/>
      <c r="S13" s="12">
        <f t="shared" si="0"/>
        <v>2</v>
      </c>
      <c r="T13" s="15">
        <f t="shared" si="0"/>
        <v>34</v>
      </c>
      <c r="U13" s="216">
        <f>IF(Q13="","",ROUND(O13/Q13,2))</f>
        <v>0</v>
      </c>
      <c r="V13" s="198"/>
      <c r="W13" s="198">
        <f>IF(Q13="","",ROUND((S13-T13)/Q13,2))</f>
        <v>-10.67</v>
      </c>
      <c r="X13" s="198"/>
      <c r="Y13" s="198">
        <f>IF(Q13="","",ROUND(S13/Q13,2))</f>
        <v>0.67</v>
      </c>
      <c r="Z13" s="199"/>
      <c r="AA13" s="4">
        <f>IF(SUM(C13:N13)=0,0,U13*1000000+W13*1000+Y13)</f>
        <v>-10669.33</v>
      </c>
      <c r="AB13" s="220">
        <f>IF(AA13=0,"",IF(LARGE($AA$11:$AA$14,1)=AA13,1,IF(LARGE($AA$11:$AA$14,2)=AA13,2,IF(LARGE($AA$11:$AA$14,3)=AA13,3,IF(LARGE($AA$11:$AA$14,4)=AA13,4,-1)))))</f>
        <v>4</v>
      </c>
      <c r="AC13" s="221"/>
    </row>
    <row r="14" spans="1:29" ht="30" customHeight="1" thickBot="1">
      <c r="A14" s="50">
        <f>'zoznam hracov'!B11</f>
        <v>104</v>
      </c>
      <c r="B14" s="65" t="s">
        <v>20</v>
      </c>
      <c r="C14" s="22">
        <f>IF(M11="","",M11)</f>
        <v>3</v>
      </c>
      <c r="D14" s="23">
        <f>IF(L11="","",L11)</f>
        <v>6</v>
      </c>
      <c r="E14" s="23"/>
      <c r="F14" s="23">
        <f>IF(M12="","",M12)</f>
        <v>2</v>
      </c>
      <c r="G14" s="23">
        <f>IF(L12="","",L12)</f>
        <v>4</v>
      </c>
      <c r="H14" s="23"/>
      <c r="I14" s="23">
        <f>IF(M13="","",M13)</f>
        <v>12</v>
      </c>
      <c r="J14" s="23">
        <f>IF(L13="","",L13)</f>
        <v>1</v>
      </c>
      <c r="K14" s="23"/>
      <c r="L14" s="246"/>
      <c r="M14" s="247"/>
      <c r="N14" s="8"/>
      <c r="O14" s="195">
        <f>IF(SUM(C14:N14)=0,"",IF($C14&gt;$D14,1,0)+IF($F14&gt;$G14,1,0)+IF($I14&gt;$J14,1,0)+IF($L14&gt;$M14,1,0)+$E14+$H14+$K14+$N14)</f>
        <v>1</v>
      </c>
      <c r="P14" s="195"/>
      <c r="Q14" s="201">
        <f>IF(SUM(C14:N14)=0,"",IF(C14="",0,1)+IF(F14="",0,1)+IF(I14="",0,1)+IF(L14="",0,1))</f>
        <v>3</v>
      </c>
      <c r="R14" s="202"/>
      <c r="S14" s="13">
        <f>IF(AND(C14="",F14="",I14="",L14=""),"",N(C14)+N(F14)+N(I14)+N(L14))</f>
        <v>17</v>
      </c>
      <c r="T14" s="16">
        <f>IF(AND(D14="",G14="",J14="",M14=""),"",N(D14)+N(G14)+N(J14)+N(M14))</f>
        <v>11</v>
      </c>
      <c r="U14" s="203">
        <f>IF(Q14="","",ROUND(O14/Q14,2))</f>
        <v>0.33</v>
      </c>
      <c r="V14" s="200"/>
      <c r="W14" s="200">
        <f>IF(Q14="","",(S14-T14)/Q14)</f>
        <v>2</v>
      </c>
      <c r="X14" s="200"/>
      <c r="Y14" s="200">
        <f>IF(Q14="","",ROUND(S14/Q14,2))</f>
        <v>5.67</v>
      </c>
      <c r="Z14" s="210"/>
      <c r="AA14" s="5">
        <f>IF(SUM(C14:N14)=0,0,U14*1000000+W14*1000+Y14)</f>
        <v>332005.67</v>
      </c>
      <c r="AB14" s="206">
        <f>IF(AA14=0,"",IF(LARGE($AA$11:$AA$14,1)=AA14,1,IF(LARGE($AA$11:$AA$14,2)=AA14,2,IF(LARGE($AA$11:$AA$14,3)=AA14,3,IF(LARGE($AA$11:$AA$14,4)=AA14,4,-1)))))</f>
        <v>3</v>
      </c>
      <c r="AC14" s="207"/>
    </row>
    <row r="15" spans="1:29" ht="30" customHeight="1">
      <c r="A15" s="241" t="s">
        <v>106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</row>
  </sheetData>
  <sheetProtection/>
  <mergeCells count="59">
    <mergeCell ref="A15:AC15"/>
    <mergeCell ref="F12:G12"/>
    <mergeCell ref="C11:D11"/>
    <mergeCell ref="I13:J13"/>
    <mergeCell ref="L14:M14"/>
    <mergeCell ref="Q9:R10"/>
    <mergeCell ref="S9:T10"/>
    <mergeCell ref="U9:V10"/>
    <mergeCell ref="W9:X10"/>
    <mergeCell ref="F9:G9"/>
    <mergeCell ref="F1:AC1"/>
    <mergeCell ref="F2:AC2"/>
    <mergeCell ref="F3:AC3"/>
    <mergeCell ref="F4:AC4"/>
    <mergeCell ref="F5:AC5"/>
    <mergeCell ref="F6:AC6"/>
    <mergeCell ref="I9:J9"/>
    <mergeCell ref="L9:M9"/>
    <mergeCell ref="O9:P10"/>
    <mergeCell ref="A9:B10"/>
    <mergeCell ref="F10:G10"/>
    <mergeCell ref="I10:J10"/>
    <mergeCell ref="L10:M10"/>
    <mergeCell ref="AB13:AC13"/>
    <mergeCell ref="AB12:AC12"/>
    <mergeCell ref="AB11:AC11"/>
    <mergeCell ref="Y9:Z10"/>
    <mergeCell ref="AB9:AC10"/>
    <mergeCell ref="W11:X11"/>
    <mergeCell ref="A1:E1"/>
    <mergeCell ref="A5:E5"/>
    <mergeCell ref="A4:E4"/>
    <mergeCell ref="W13:X13"/>
    <mergeCell ref="U13:V13"/>
    <mergeCell ref="Q13:R13"/>
    <mergeCell ref="A2:E2"/>
    <mergeCell ref="C10:D10"/>
    <mergeCell ref="F7:AC7"/>
    <mergeCell ref="W12:X12"/>
    <mergeCell ref="AB14:AC14"/>
    <mergeCell ref="A3:E3"/>
    <mergeCell ref="O11:P11"/>
    <mergeCell ref="O12:P12"/>
    <mergeCell ref="O13:P13"/>
    <mergeCell ref="Y14:Z14"/>
    <mergeCell ref="Q11:R11"/>
    <mergeCell ref="Q12:R12"/>
    <mergeCell ref="U11:V11"/>
    <mergeCell ref="U12:V12"/>
    <mergeCell ref="A6:E6"/>
    <mergeCell ref="A7:E7"/>
    <mergeCell ref="O14:P14"/>
    <mergeCell ref="Y11:Z11"/>
    <mergeCell ref="Y12:Z12"/>
    <mergeCell ref="Y13:Z13"/>
    <mergeCell ref="W14:X14"/>
    <mergeCell ref="Q14:R14"/>
    <mergeCell ref="U14:V14"/>
    <mergeCell ref="C9:D9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showGridLines="0" zoomScalePageLayoutView="0" workbookViewId="0" topLeftCell="A8">
      <selection activeCell="AD14" sqref="AD14"/>
    </sheetView>
  </sheetViews>
  <sheetFormatPr defaultColWidth="9.140625" defaultRowHeight="15"/>
  <cols>
    <col min="1" max="1" width="4.7109375" style="0" customWidth="1"/>
    <col min="2" max="2" width="16.140625" style="2" customWidth="1"/>
    <col min="3" max="4" width="5.7109375" style="2" customWidth="1"/>
    <col min="5" max="5" width="5.7109375" style="2" hidden="1" customWidth="1"/>
    <col min="6" max="7" width="5.7109375" style="2" customWidth="1"/>
    <col min="8" max="8" width="5.7109375" style="2" hidden="1" customWidth="1"/>
    <col min="9" max="10" width="5.7109375" style="2" customWidth="1"/>
    <col min="11" max="11" width="5.7109375" style="2" hidden="1" customWidth="1"/>
    <col min="12" max="14" width="3.7109375" style="2" customWidth="1"/>
    <col min="15" max="15" width="5.28125" style="2" customWidth="1"/>
    <col min="16" max="17" width="4.7109375" style="2" customWidth="1"/>
    <col min="18" max="18" width="3.7109375" style="2" customWidth="1"/>
    <col min="19" max="19" width="4.57421875" style="2" customWidth="1"/>
    <col min="20" max="20" width="3.7109375" style="2" customWidth="1"/>
    <col min="21" max="21" width="4.421875" style="2" customWidth="1"/>
    <col min="22" max="22" width="3.7109375" style="2" customWidth="1"/>
    <col min="23" max="23" width="4.421875" style="2" customWidth="1"/>
    <col min="24" max="24" width="0" style="2" hidden="1" customWidth="1"/>
    <col min="25" max="25" width="4.7109375" style="2" customWidth="1"/>
    <col min="26" max="26" width="11.7109375" style="2" customWidth="1"/>
    <col min="27" max="34" width="4.7109375" style="2" customWidth="1"/>
    <col min="35" max="39" width="4.7109375" style="0" customWidth="1"/>
  </cols>
  <sheetData>
    <row r="1" spans="1:34" ht="16.5" customHeight="1">
      <c r="A1" s="192" t="s">
        <v>7</v>
      </c>
      <c r="B1" s="193"/>
      <c r="C1" s="193"/>
      <c r="D1" s="193"/>
      <c r="E1" s="194"/>
      <c r="F1" s="219" t="s">
        <v>81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B1"/>
      <c r="AC1"/>
      <c r="AD1"/>
      <c r="AE1"/>
      <c r="AF1"/>
      <c r="AG1"/>
      <c r="AH1"/>
    </row>
    <row r="2" spans="1:34" ht="16.5" customHeight="1">
      <c r="A2" s="192" t="s">
        <v>8</v>
      </c>
      <c r="B2" s="193"/>
      <c r="C2" s="193"/>
      <c r="D2" s="193"/>
      <c r="E2" s="194"/>
      <c r="F2" s="240">
        <v>42161</v>
      </c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B2"/>
      <c r="AC2"/>
      <c r="AD2"/>
      <c r="AE2"/>
      <c r="AF2"/>
      <c r="AG2"/>
      <c r="AH2"/>
    </row>
    <row r="3" spans="1:34" ht="16.5" customHeight="1">
      <c r="A3" s="192" t="s">
        <v>9</v>
      </c>
      <c r="B3" s="193"/>
      <c r="C3" s="193"/>
      <c r="D3" s="193"/>
      <c r="E3" s="194"/>
      <c r="F3" s="219" t="s">
        <v>24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B3"/>
      <c r="AC3"/>
      <c r="AD3"/>
      <c r="AE3"/>
      <c r="AF3"/>
      <c r="AG3"/>
      <c r="AH3"/>
    </row>
    <row r="4" spans="1:34" ht="16.5" customHeight="1">
      <c r="A4" s="192" t="s">
        <v>13</v>
      </c>
      <c r="B4" s="193"/>
      <c r="C4" s="193"/>
      <c r="D4" s="193"/>
      <c r="E4" s="194"/>
      <c r="F4" s="219" t="s">
        <v>16</v>
      </c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B4"/>
      <c r="AC4"/>
      <c r="AD4"/>
      <c r="AE4"/>
      <c r="AF4"/>
      <c r="AG4"/>
      <c r="AH4"/>
    </row>
    <row r="5" spans="1:34" ht="16.5" customHeight="1">
      <c r="A5" s="192" t="s">
        <v>11</v>
      </c>
      <c r="B5" s="193"/>
      <c r="C5" s="193"/>
      <c r="D5" s="193"/>
      <c r="E5" s="194"/>
      <c r="F5" s="219">
        <v>6</v>
      </c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B5"/>
      <c r="AC5"/>
      <c r="AD5"/>
      <c r="AE5"/>
      <c r="AF5"/>
      <c r="AG5"/>
      <c r="AH5"/>
    </row>
    <row r="6" spans="1:34" ht="16.5" customHeight="1">
      <c r="A6" s="192" t="s">
        <v>12</v>
      </c>
      <c r="B6" s="193"/>
      <c r="C6" s="193"/>
      <c r="D6" s="193"/>
      <c r="E6" s="194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B6"/>
      <c r="AC6"/>
      <c r="AD6"/>
      <c r="AE6"/>
      <c r="AF6"/>
      <c r="AG6"/>
      <c r="AH6"/>
    </row>
    <row r="7" spans="1:34" ht="16.5" customHeight="1">
      <c r="A7" s="192" t="s">
        <v>10</v>
      </c>
      <c r="B7" s="193"/>
      <c r="C7" s="193"/>
      <c r="D7" s="193"/>
      <c r="E7" s="194"/>
      <c r="F7" s="219" t="s">
        <v>14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B7"/>
      <c r="AC7"/>
      <c r="AD7"/>
      <c r="AE7"/>
      <c r="AF7"/>
      <c r="AG7"/>
      <c r="AH7"/>
    </row>
    <row r="8" ht="15.75" thickBot="1"/>
    <row r="9" spans="1:34" ht="16.5" thickBot="1">
      <c r="A9" s="235" t="s">
        <v>108</v>
      </c>
      <c r="B9" s="236"/>
      <c r="C9" s="204">
        <f>A11</f>
        <v>205</v>
      </c>
      <c r="D9" s="205"/>
      <c r="E9" s="47"/>
      <c r="F9" s="205">
        <f>A12</f>
        <v>206</v>
      </c>
      <c r="G9" s="205"/>
      <c r="H9" s="47"/>
      <c r="I9" s="205">
        <f>A13</f>
        <v>202</v>
      </c>
      <c r="J9" s="205"/>
      <c r="L9" s="248" t="s">
        <v>0</v>
      </c>
      <c r="M9" s="233"/>
      <c r="N9" s="224" t="s">
        <v>3</v>
      </c>
      <c r="O9" s="225"/>
      <c r="P9" s="248" t="s">
        <v>1</v>
      </c>
      <c r="Q9" s="225"/>
      <c r="R9" s="248" t="s">
        <v>4</v>
      </c>
      <c r="S9" s="233"/>
      <c r="T9" s="224" t="s">
        <v>5</v>
      </c>
      <c r="U9" s="233"/>
      <c r="V9" s="224" t="s">
        <v>6</v>
      </c>
      <c r="W9" s="225"/>
      <c r="X9" s="46"/>
      <c r="Y9" s="228" t="s">
        <v>2</v>
      </c>
      <c r="Z9" s="229"/>
      <c r="AC9"/>
      <c r="AD9"/>
      <c r="AE9"/>
      <c r="AF9"/>
      <c r="AG9"/>
      <c r="AH9"/>
    </row>
    <row r="10" spans="1:28" s="1" customFormat="1" ht="57.75" customHeight="1" thickBot="1">
      <c r="A10" s="237"/>
      <c r="B10" s="238"/>
      <c r="C10" s="217" t="str">
        <f>B11</f>
        <v>Tomáš Král</v>
      </c>
      <c r="D10" s="218"/>
      <c r="E10" s="42" t="s">
        <v>21</v>
      </c>
      <c r="F10" s="218" t="str">
        <f>B12</f>
        <v>Dušan Sotoniak</v>
      </c>
      <c r="G10" s="218"/>
      <c r="H10" s="42" t="s">
        <v>21</v>
      </c>
      <c r="I10" s="218" t="str">
        <f>B13</f>
        <v>Rastislav Kurilák</v>
      </c>
      <c r="J10" s="239"/>
      <c r="K10" s="35" t="s">
        <v>21</v>
      </c>
      <c r="L10" s="249"/>
      <c r="M10" s="234"/>
      <c r="N10" s="226"/>
      <c r="O10" s="227"/>
      <c r="P10" s="249"/>
      <c r="Q10" s="227"/>
      <c r="R10" s="249"/>
      <c r="S10" s="234"/>
      <c r="T10" s="226"/>
      <c r="U10" s="234"/>
      <c r="V10" s="226"/>
      <c r="W10" s="227"/>
      <c r="X10" s="44"/>
      <c r="Y10" s="230"/>
      <c r="Z10" s="231"/>
      <c r="AA10" s="3"/>
      <c r="AB10" s="3"/>
    </row>
    <row r="11" spans="1:34" ht="30" customHeight="1">
      <c r="A11" s="48">
        <f>IF('zoznam hracov'!$A$12="nevylosované","201",VLOOKUP("A1",'zoznam hracov'!$A$13:$C$18,2,0))</f>
        <v>205</v>
      </c>
      <c r="B11" s="132" t="str">
        <f>IF('zoznam hracov'!$A$12="nevylosované","Hráč 1",VLOOKUP("A1",'zoznam hracov'!$A$13:$C$18,3,0))</f>
        <v>Tomáš Král</v>
      </c>
      <c r="C11" s="251"/>
      <c r="D11" s="245"/>
      <c r="E11" s="18"/>
      <c r="F11" s="28">
        <v>2</v>
      </c>
      <c r="G11" s="28">
        <v>3</v>
      </c>
      <c r="H11" s="28"/>
      <c r="I11" s="28">
        <v>8</v>
      </c>
      <c r="J11" s="29">
        <v>3</v>
      </c>
      <c r="K11" s="36"/>
      <c r="L11" s="208">
        <f>IF(SUM(C11:K11)=0,"",IF($C11&gt;$D11,1,0)+IF($F11&gt;$G11,1,0)+IF($I11&gt;$J11,1,0)+$E11+$H11+$K11)</f>
        <v>1</v>
      </c>
      <c r="M11" s="208"/>
      <c r="N11" s="211">
        <f>IF(SUM(C11:K11)=0,"",IF(C11="",0,1)+IF(F11="",0,1)+IF(I11="",0,1))</f>
        <v>2</v>
      </c>
      <c r="O11" s="212"/>
      <c r="P11" s="109">
        <f aca="true" t="shared" si="0" ref="P11:Q13">IF(AND(C11="",F11="",I11=""),"",N(C11)+N(F11)+N(I11))</f>
        <v>10</v>
      </c>
      <c r="Q11" s="14">
        <f t="shared" si="0"/>
        <v>6</v>
      </c>
      <c r="R11" s="215">
        <f>IF(N11="","",ROUND(L11/N11,2))</f>
        <v>0.5</v>
      </c>
      <c r="S11" s="196"/>
      <c r="T11" s="196">
        <f>IF(N11="","",ROUND((P11-Q11)/N11,2))</f>
        <v>2</v>
      </c>
      <c r="U11" s="196"/>
      <c r="V11" s="196">
        <f>IF(N11="","",ROUND(P11/N11,2))</f>
        <v>5</v>
      </c>
      <c r="W11" s="197"/>
      <c r="X11" s="6">
        <f>IF(SUM(C11:K11)=0,0,R11*1000000+T11*1000+V11)</f>
        <v>502005</v>
      </c>
      <c r="Y11" s="332">
        <f>IF(X11=0,"",IF(LARGE($X$11:$X$13,1)=X11,1,IF(LARGE($X$11:$X$13,2)=X11,2,IF(LARGE($X$11:$X$13,3)=X11,3,-1))))</f>
        <v>2</v>
      </c>
      <c r="Z11" s="333"/>
      <c r="AC11"/>
      <c r="AD11"/>
      <c r="AE11"/>
      <c r="AF11"/>
      <c r="AG11"/>
      <c r="AH11"/>
    </row>
    <row r="12" spans="1:34" ht="30" customHeight="1">
      <c r="A12" s="49">
        <f>IF('zoznam hracov'!$A$12="nevylosované","202",VLOOKUP("A2",'zoznam hracov'!$A$13:$C$18,2,0))</f>
        <v>206</v>
      </c>
      <c r="B12" s="133" t="str">
        <f>IF('zoznam hracov'!$A$12="nevylosované","Hráč 2",VLOOKUP("A2",'zoznam hracov'!$A$13:$C$18,3,0))</f>
        <v>Dušan Sotoniak</v>
      </c>
      <c r="C12" s="130">
        <f>IF(G11="","",G11)</f>
        <v>3</v>
      </c>
      <c r="D12" s="20">
        <f>IF(F11="","",F11)</f>
        <v>2</v>
      </c>
      <c r="E12" s="20"/>
      <c r="F12" s="242"/>
      <c r="G12" s="243"/>
      <c r="H12" s="21"/>
      <c r="I12" s="30">
        <v>5</v>
      </c>
      <c r="J12" s="31">
        <v>3</v>
      </c>
      <c r="K12" s="37"/>
      <c r="L12" s="209">
        <f>IF(SUM(C12:K12)=0,"",IF($C12&gt;$D12,1,0)+IF($F12&gt;$G12,1,0)+IF($I12&gt;$J12,1,0)+$E12+$H12+$K12)</f>
        <v>2</v>
      </c>
      <c r="M12" s="209"/>
      <c r="N12" s="213">
        <f>IF(SUM(C12:K12)=0,"",IF(C12="",0,1)+IF(F12="",0,1)+IF(I12="",0,1))</f>
        <v>2</v>
      </c>
      <c r="O12" s="214"/>
      <c r="P12" s="110">
        <f t="shared" si="0"/>
        <v>8</v>
      </c>
      <c r="Q12" s="15">
        <f t="shared" si="0"/>
        <v>5</v>
      </c>
      <c r="R12" s="216">
        <f>IF(N12="","",ROUND(L12/N12,2))</f>
        <v>1</v>
      </c>
      <c r="S12" s="198"/>
      <c r="T12" s="198">
        <f>IF(N12="","",ROUND((P12-Q12)/N12,2))</f>
        <v>1.5</v>
      </c>
      <c r="U12" s="198"/>
      <c r="V12" s="198">
        <f>IF(N12="","",ROUND(P12/N12,2))</f>
        <v>4</v>
      </c>
      <c r="W12" s="199"/>
      <c r="X12" s="4">
        <f>IF(SUM(C12:K12)=0,0,R12*1000000+T12*1000+V12)</f>
        <v>1001504</v>
      </c>
      <c r="Y12" s="329">
        <f>IF(X12=0,"",IF(LARGE($X$11:$X$13,1)=X12,1,IF(LARGE($X$11:$X$13,2)=X12,2,IF(LARGE($X$11:$X$13,3)=X12,3,-1))))</f>
        <v>1</v>
      </c>
      <c r="Z12" s="330"/>
      <c r="AC12"/>
      <c r="AD12"/>
      <c r="AE12"/>
      <c r="AF12"/>
      <c r="AG12"/>
      <c r="AH12"/>
    </row>
    <row r="13" spans="1:34" ht="30" customHeight="1" thickBot="1">
      <c r="A13" s="50">
        <f>IF('zoznam hracov'!$A$12="nevylosované","203",VLOOKUP("A3",'zoznam hracov'!$A$13:$C$18,2,0))</f>
        <v>202</v>
      </c>
      <c r="B13" s="134" t="str">
        <f>IF('zoznam hracov'!$A$12="nevylosované","Hráč 3",VLOOKUP("A3",'zoznam hracov'!$A$13:$C$18,3,0))</f>
        <v>Rastislav Kurilák</v>
      </c>
      <c r="C13" s="131">
        <f>IF(J11="","",J11)</f>
        <v>3</v>
      </c>
      <c r="D13" s="23">
        <f>IF(I11="","",I11)</f>
        <v>8</v>
      </c>
      <c r="E13" s="23"/>
      <c r="F13" s="23">
        <f>IF(J12="","",J12)</f>
        <v>3</v>
      </c>
      <c r="G13" s="23">
        <f>IF(I12="","",I12)</f>
        <v>5</v>
      </c>
      <c r="H13" s="23"/>
      <c r="I13" s="246"/>
      <c r="J13" s="247"/>
      <c r="K13" s="38"/>
      <c r="L13" s="195">
        <f>IF(SUM(C13:K13)=0,"",IF($C13&gt;$D13,1,0)+IF($F13&gt;$G13,1,0)+IF($I13&gt;$J13,1,0)+$E13+$H13+$K13)</f>
        <v>0</v>
      </c>
      <c r="M13" s="195"/>
      <c r="N13" s="201">
        <f>IF(SUM(C13:K13)=0,"",IF(C13="",0,1)+IF(F13="",0,1)+IF(I13="",0,1))</f>
        <v>2</v>
      </c>
      <c r="O13" s="202"/>
      <c r="P13" s="111">
        <f t="shared" si="0"/>
        <v>6</v>
      </c>
      <c r="Q13" s="16">
        <f t="shared" si="0"/>
        <v>13</v>
      </c>
      <c r="R13" s="203">
        <f>IF(N13="","",ROUND(L13/N13,2))</f>
        <v>0</v>
      </c>
      <c r="S13" s="200"/>
      <c r="T13" s="200">
        <f>IF(N13="","",ROUND((P13-Q13)/N13,2))</f>
        <v>-3.5</v>
      </c>
      <c r="U13" s="200"/>
      <c r="V13" s="200">
        <f>IF(N13="","",ROUND(P13/N13,2))</f>
        <v>3</v>
      </c>
      <c r="W13" s="210"/>
      <c r="X13" s="5">
        <f>IF(SUM(C13:K13)=0,0,R13*1000000+T13*1000+V13)</f>
        <v>-3497</v>
      </c>
      <c r="Y13" s="206">
        <f>IF(X13=0,"",IF(LARGE($X$11:$X$13,1)=X13,1,IF(LARGE($X$11:$X$13,2)=X13,2,IF(LARGE($X$11:$X$13,3)=X13,3,-1))))</f>
        <v>3</v>
      </c>
      <c r="Z13" s="207"/>
      <c r="AC13"/>
      <c r="AD13"/>
      <c r="AE13"/>
      <c r="AF13"/>
      <c r="AG13"/>
      <c r="AH13"/>
    </row>
    <row r="14" spans="25:34" ht="15" customHeight="1" thickBot="1">
      <c r="Y14" s="39"/>
      <c r="Z14" s="39"/>
      <c r="AC14"/>
      <c r="AD14"/>
      <c r="AE14"/>
      <c r="AF14"/>
      <c r="AG14"/>
      <c r="AH14"/>
    </row>
    <row r="15" spans="1:34" ht="15" customHeight="1" thickBot="1">
      <c r="A15" s="235" t="s">
        <v>109</v>
      </c>
      <c r="B15" s="236"/>
      <c r="C15" s="204">
        <f>A17</f>
        <v>204</v>
      </c>
      <c r="D15" s="205"/>
      <c r="E15" s="47"/>
      <c r="F15" s="205">
        <f>A18</f>
        <v>201</v>
      </c>
      <c r="G15" s="205"/>
      <c r="H15" s="47"/>
      <c r="I15" s="205">
        <f>A19</f>
        <v>203</v>
      </c>
      <c r="J15" s="205"/>
      <c r="L15" s="248" t="s">
        <v>0</v>
      </c>
      <c r="M15" s="233"/>
      <c r="N15" s="224" t="s">
        <v>3</v>
      </c>
      <c r="O15" s="225"/>
      <c r="P15" s="248" t="s">
        <v>1</v>
      </c>
      <c r="Q15" s="225"/>
      <c r="R15" s="248" t="s">
        <v>4</v>
      </c>
      <c r="S15" s="233"/>
      <c r="T15" s="224" t="s">
        <v>5</v>
      </c>
      <c r="U15" s="233"/>
      <c r="V15" s="224" t="s">
        <v>6</v>
      </c>
      <c r="W15" s="225"/>
      <c r="X15" s="46"/>
      <c r="Y15" s="228" t="s">
        <v>2</v>
      </c>
      <c r="Z15" s="229"/>
      <c r="AC15"/>
      <c r="AD15"/>
      <c r="AE15"/>
      <c r="AF15"/>
      <c r="AG15"/>
      <c r="AH15"/>
    </row>
    <row r="16" spans="1:29" s="1" customFormat="1" ht="57.75" customHeight="1" thickBot="1">
      <c r="A16" s="237"/>
      <c r="B16" s="238"/>
      <c r="C16" s="217" t="str">
        <f>B17</f>
        <v>Róbert Mezík</v>
      </c>
      <c r="D16" s="218"/>
      <c r="E16" s="42" t="s">
        <v>21</v>
      </c>
      <c r="F16" s="218" t="str">
        <f>B18</f>
        <v>Martin Opát </v>
      </c>
      <c r="G16" s="218"/>
      <c r="H16" s="42" t="s">
        <v>21</v>
      </c>
      <c r="I16" s="218" t="str">
        <f>B19</f>
        <v>Peter Novota</v>
      </c>
      <c r="J16" s="239"/>
      <c r="K16" s="35" t="s">
        <v>21</v>
      </c>
      <c r="L16" s="249"/>
      <c r="M16" s="234"/>
      <c r="N16" s="226"/>
      <c r="O16" s="227"/>
      <c r="P16" s="249"/>
      <c r="Q16" s="227"/>
      <c r="R16" s="249"/>
      <c r="S16" s="234"/>
      <c r="T16" s="226"/>
      <c r="U16" s="234"/>
      <c r="V16" s="226"/>
      <c r="W16" s="227"/>
      <c r="X16" s="44"/>
      <c r="Y16" s="230"/>
      <c r="Z16" s="231"/>
      <c r="AA16" s="3"/>
      <c r="AB16" s="3"/>
      <c r="AC16"/>
    </row>
    <row r="17" spans="1:34" ht="30" customHeight="1">
      <c r="A17" s="48">
        <f>IF('zoznam hracov'!$A$12="nevylosované","204",VLOOKUP("B1",'zoznam hracov'!$A$13:$C$18,2,0))</f>
        <v>204</v>
      </c>
      <c r="B17" s="132" t="str">
        <f>IF('zoznam hracov'!$A$12="nevylosované","Hráč 4",VLOOKUP("B1",'zoznam hracov'!$A$13:$C$18,3,0))</f>
        <v>Róbert Mezík</v>
      </c>
      <c r="C17" s="251"/>
      <c r="D17" s="245"/>
      <c r="E17" s="18"/>
      <c r="F17" s="28">
        <v>11</v>
      </c>
      <c r="G17" s="28">
        <v>1</v>
      </c>
      <c r="H17" s="28"/>
      <c r="I17" s="28">
        <v>13</v>
      </c>
      <c r="J17" s="29">
        <v>0</v>
      </c>
      <c r="K17" s="36"/>
      <c r="L17" s="208">
        <f>IF(SUM(C17:K17)=0,"",IF($C17&gt;$D17,1,0)+IF($F17&gt;$G17,1,0)+IF($I17&gt;$J17,1,0)+$E17+$H17+$K17)</f>
        <v>2</v>
      </c>
      <c r="M17" s="208"/>
      <c r="N17" s="211">
        <f>IF(SUM(C17:K17)=0,"",IF(C17="",0,1)+IF(F17="",0,1)+IF(I17="",0,1))</f>
        <v>2</v>
      </c>
      <c r="O17" s="212"/>
      <c r="P17" s="109">
        <f aca="true" t="shared" si="1" ref="P17:Q19">IF(AND(C17="",F17="",I17=""),"",N(C17)+N(F17)+N(I17))</f>
        <v>24</v>
      </c>
      <c r="Q17" s="14">
        <f t="shared" si="1"/>
        <v>1</v>
      </c>
      <c r="R17" s="215">
        <f>IF(N17="","",ROUND(L17/N17,2))</f>
        <v>1</v>
      </c>
      <c r="S17" s="196"/>
      <c r="T17" s="196">
        <f>IF(N17="","",ROUND((P17-Q17)/N17,2))</f>
        <v>11.5</v>
      </c>
      <c r="U17" s="196"/>
      <c r="V17" s="196">
        <f>IF(N17="","",ROUND(P17/N17,2))</f>
        <v>12</v>
      </c>
      <c r="W17" s="197"/>
      <c r="X17" s="6">
        <f>IF(SUM(C17:K17)=0,0,R17*1000000+T17*1000+V17)</f>
        <v>1011512</v>
      </c>
      <c r="Y17" s="332">
        <f>IF(X17=0,"",IF(LARGE($X$17:$X$19,1)=X17,1,IF(LARGE($X$17:$X$19,2)=X17,2,IF(LARGE($X$17:$X$19,3)=X17,3,-1))))</f>
        <v>1</v>
      </c>
      <c r="Z17" s="333"/>
      <c r="AC17"/>
      <c r="AD17"/>
      <c r="AE17"/>
      <c r="AF17"/>
      <c r="AG17"/>
      <c r="AH17"/>
    </row>
    <row r="18" spans="1:34" ht="30" customHeight="1">
      <c r="A18" s="49">
        <f>IF('zoznam hracov'!$A$12="nevylosované","205",VLOOKUP("B2",'zoznam hracov'!$A$13:$C$18,2,0))</f>
        <v>201</v>
      </c>
      <c r="B18" s="133" t="str">
        <f>IF('zoznam hracov'!$A$12="nevylosované","Hráč 5",VLOOKUP("B2",'zoznam hracov'!$A$13:$C$18,3,0))</f>
        <v>Martin Opát </v>
      </c>
      <c r="C18" s="130">
        <f>IF(G17="","",G17)</f>
        <v>1</v>
      </c>
      <c r="D18" s="20">
        <f>IF(F17="","",F17)</f>
        <v>11</v>
      </c>
      <c r="E18" s="20"/>
      <c r="F18" s="242"/>
      <c r="G18" s="243"/>
      <c r="H18" s="21"/>
      <c r="I18" s="30">
        <v>6</v>
      </c>
      <c r="J18" s="31">
        <v>5</v>
      </c>
      <c r="K18" s="37"/>
      <c r="L18" s="209">
        <f>IF(SUM(C18:K18)=0,"",IF($C18&gt;$D18,1,0)+IF($F18&gt;$G18,1,0)+IF($I18&gt;$J18,1,0)+$E18+$H18+$K18)</f>
        <v>1</v>
      </c>
      <c r="M18" s="209"/>
      <c r="N18" s="213">
        <f>IF(SUM(C18:K18)=0,"",IF(C18="",0,1)+IF(F18="",0,1)+IF(I18="",0,1))</f>
        <v>2</v>
      </c>
      <c r="O18" s="214"/>
      <c r="P18" s="110">
        <f t="shared" si="1"/>
        <v>7</v>
      </c>
      <c r="Q18" s="15">
        <f t="shared" si="1"/>
        <v>16</v>
      </c>
      <c r="R18" s="216">
        <f>IF(N18="","",ROUND(L18/N18,2))</f>
        <v>0.5</v>
      </c>
      <c r="S18" s="198"/>
      <c r="T18" s="198">
        <f>IF(N18="","",ROUND((P18-Q18)/N18,2))</f>
        <v>-4.5</v>
      </c>
      <c r="U18" s="198"/>
      <c r="V18" s="198">
        <f>IF(N18="","",ROUND(P18/N18,2))</f>
        <v>3.5</v>
      </c>
      <c r="W18" s="199"/>
      <c r="X18" s="4">
        <f>IF(SUM(C18:K18)=0,0,R18*1000000+T18*1000+V18)</f>
        <v>495503.5</v>
      </c>
      <c r="Y18" s="329">
        <f>IF(X18=0,"",IF(LARGE($X$17:$X$19,1)=X18,1,IF(LARGE($X$17:$X$19,2)=X18,2,IF(LARGE($X$17:$X$19,3)=X18,3,-1))))</f>
        <v>2</v>
      </c>
      <c r="Z18" s="330"/>
      <c r="AC18"/>
      <c r="AD18"/>
      <c r="AE18"/>
      <c r="AF18"/>
      <c r="AG18"/>
      <c r="AH18"/>
    </row>
    <row r="19" spans="1:34" ht="30" customHeight="1" thickBot="1">
      <c r="A19" s="50">
        <f>IF('zoznam hracov'!$A$12="nevylosované","206",VLOOKUP("B3",'zoznam hracov'!$A$13:$C$18,2,0))</f>
        <v>203</v>
      </c>
      <c r="B19" s="134" t="str">
        <f>IF('zoznam hracov'!$A$12="nevylosované","Hráč 6",VLOOKUP("B3",'zoznam hracov'!$A$13:$C$18,3,0))</f>
        <v>Peter Novota</v>
      </c>
      <c r="C19" s="131">
        <f>IF(J17="","",J17)</f>
        <v>0</v>
      </c>
      <c r="D19" s="23">
        <f>IF(I17="","",I17)</f>
        <v>13</v>
      </c>
      <c r="E19" s="23"/>
      <c r="F19" s="23">
        <f>IF(J18="","",J18)</f>
        <v>5</v>
      </c>
      <c r="G19" s="23">
        <f>IF(I18="","",I18)</f>
        <v>6</v>
      </c>
      <c r="H19" s="23"/>
      <c r="I19" s="246"/>
      <c r="J19" s="247"/>
      <c r="K19" s="38"/>
      <c r="L19" s="195">
        <f>IF(SUM(C19:K19)=0,"",IF($C19&gt;$D19,1,0)+IF($F19&gt;$G19,1,0)+IF($I19&gt;$J19,1,0)+$E19+$H19+$K19)</f>
        <v>0</v>
      </c>
      <c r="M19" s="195"/>
      <c r="N19" s="201">
        <f>IF(SUM(C19:K19)=0,"",IF(C19="",0,1)+IF(F19="",0,1)+IF(I19="",0,1))</f>
        <v>2</v>
      </c>
      <c r="O19" s="202"/>
      <c r="P19" s="111">
        <f t="shared" si="1"/>
        <v>5</v>
      </c>
      <c r="Q19" s="16">
        <f t="shared" si="1"/>
        <v>19</v>
      </c>
      <c r="R19" s="203">
        <f>IF(N19="","",ROUND(L19/N19,2))</f>
        <v>0</v>
      </c>
      <c r="S19" s="200"/>
      <c r="T19" s="200">
        <f>IF(N19="","",ROUND((P19-Q19)/N19,2))</f>
        <v>-7</v>
      </c>
      <c r="U19" s="200"/>
      <c r="V19" s="200">
        <f>IF(N19="","",ROUND(P19/N19,2))</f>
        <v>2.5</v>
      </c>
      <c r="W19" s="210"/>
      <c r="X19" s="5">
        <f>IF(SUM(C19:K19)=0,0,R19*1000000+T19*1000+V19)</f>
        <v>-6997.5</v>
      </c>
      <c r="Y19" s="206">
        <f>IF(X19=0,"",IF(LARGE($X$17:$X$19,1)=X19,1,IF(LARGE($X$17:$X$19,2)=X19,2,IF(LARGE($X$17:$X$19,3)=X19,3,-1))))</f>
        <v>3</v>
      </c>
      <c r="Z19" s="207"/>
      <c r="AA19"/>
      <c r="AB19"/>
      <c r="AC19"/>
      <c r="AD19"/>
      <c r="AE19"/>
      <c r="AF19"/>
      <c r="AG19"/>
      <c r="AH19"/>
    </row>
    <row r="20" spans="1:34" ht="30" customHeight="1">
      <c r="A20" s="250" t="s">
        <v>106</v>
      </c>
      <c r="B20" s="25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C20"/>
      <c r="AD20"/>
      <c r="AE20"/>
      <c r="AF20"/>
      <c r="AG20"/>
      <c r="AH20"/>
    </row>
  </sheetData>
  <sheetProtection/>
  <mergeCells count="85">
    <mergeCell ref="R9:S10"/>
    <mergeCell ref="T9:U10"/>
    <mergeCell ref="A4:E4"/>
    <mergeCell ref="A5:E5"/>
    <mergeCell ref="A6:E6"/>
    <mergeCell ref="A1:E1"/>
    <mergeCell ref="A2:E2"/>
    <mergeCell ref="A3:E3"/>
    <mergeCell ref="C10:D10"/>
    <mergeCell ref="F10:G10"/>
    <mergeCell ref="I10:J10"/>
    <mergeCell ref="A7:E7"/>
    <mergeCell ref="A9:B10"/>
    <mergeCell ref="C9:D9"/>
    <mergeCell ref="F9:G9"/>
    <mergeCell ref="I9:J9"/>
    <mergeCell ref="R13:S13"/>
    <mergeCell ref="T13:U13"/>
    <mergeCell ref="R12:S12"/>
    <mergeCell ref="T12:U12"/>
    <mergeCell ref="R11:S11"/>
    <mergeCell ref="T11:U11"/>
    <mergeCell ref="L9:M10"/>
    <mergeCell ref="N9:O10"/>
    <mergeCell ref="P9:Q10"/>
    <mergeCell ref="Y9:Z10"/>
    <mergeCell ref="C11:D11"/>
    <mergeCell ref="L11:M11"/>
    <mergeCell ref="N11:O11"/>
    <mergeCell ref="V11:W11"/>
    <mergeCell ref="Y11:Z11"/>
    <mergeCell ref="V9:W10"/>
    <mergeCell ref="F12:G12"/>
    <mergeCell ref="L12:M12"/>
    <mergeCell ref="N12:O12"/>
    <mergeCell ref="V12:W12"/>
    <mergeCell ref="Y12:Z12"/>
    <mergeCell ref="I13:J13"/>
    <mergeCell ref="L13:M13"/>
    <mergeCell ref="N13:O13"/>
    <mergeCell ref="V13:W13"/>
    <mergeCell ref="Y13:Z13"/>
    <mergeCell ref="A15:B16"/>
    <mergeCell ref="C15:D15"/>
    <mergeCell ref="F15:G15"/>
    <mergeCell ref="I15:J15"/>
    <mergeCell ref="L15:M16"/>
    <mergeCell ref="N15:O16"/>
    <mergeCell ref="P15:Q16"/>
    <mergeCell ref="R15:S16"/>
    <mergeCell ref="T15:U16"/>
    <mergeCell ref="V15:W16"/>
    <mergeCell ref="Y15:Z16"/>
    <mergeCell ref="C16:D16"/>
    <mergeCell ref="F16:G16"/>
    <mergeCell ref="I16:J16"/>
    <mergeCell ref="C17:D17"/>
    <mergeCell ref="L17:M17"/>
    <mergeCell ref="N17:O17"/>
    <mergeCell ref="R17:S17"/>
    <mergeCell ref="T17:U17"/>
    <mergeCell ref="V17:W17"/>
    <mergeCell ref="F18:G18"/>
    <mergeCell ref="L18:M18"/>
    <mergeCell ref="N18:O18"/>
    <mergeCell ref="R18:S18"/>
    <mergeCell ref="T18:U18"/>
    <mergeCell ref="V18:W18"/>
    <mergeCell ref="N19:O19"/>
    <mergeCell ref="R19:S19"/>
    <mergeCell ref="T19:U19"/>
    <mergeCell ref="V19:W19"/>
    <mergeCell ref="Y17:Z17"/>
    <mergeCell ref="Y18:Z18"/>
    <mergeCell ref="Y19:Z19"/>
    <mergeCell ref="A20:Z20"/>
    <mergeCell ref="F1:Z1"/>
    <mergeCell ref="F2:Z2"/>
    <mergeCell ref="F3:Z3"/>
    <mergeCell ref="F4:Z4"/>
    <mergeCell ref="F5:Z5"/>
    <mergeCell ref="F6:Z6"/>
    <mergeCell ref="F7:Z7"/>
    <mergeCell ref="I19:J19"/>
    <mergeCell ref="L19:M19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CW88"/>
  <sheetViews>
    <sheetView zoomScale="170" zoomScaleNormal="170" zoomScalePageLayoutView="0" workbookViewId="0" topLeftCell="Q1">
      <selection activeCell="BD28" sqref="BD28"/>
    </sheetView>
  </sheetViews>
  <sheetFormatPr defaultColWidth="9.140625" defaultRowHeight="3.75" customHeight="1"/>
  <cols>
    <col min="1" max="13" width="1.7109375" style="66" customWidth="1"/>
    <col min="14" max="14" width="2.57421875" style="66" customWidth="1"/>
    <col min="15" max="39" width="1.7109375" style="66" customWidth="1"/>
    <col min="40" max="40" width="9.7109375" style="66" customWidth="1"/>
    <col min="41" max="159" width="1.7109375" style="66" customWidth="1"/>
    <col min="160" max="16384" width="9.140625" style="66" customWidth="1"/>
  </cols>
  <sheetData>
    <row r="1" spans="8:86" ht="3.75" customHeight="1"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5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</row>
    <row r="2" spans="8:86" ht="3.75" customHeight="1"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5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</row>
    <row r="3" spans="2:86" ht="3.75" customHeight="1">
      <c r="B3" s="256" t="s">
        <v>92</v>
      </c>
      <c r="C3" s="256"/>
      <c r="D3" s="256"/>
      <c r="E3" s="256"/>
      <c r="F3" s="256"/>
      <c r="G3" s="256"/>
      <c r="H3" s="256"/>
      <c r="I3" s="256"/>
      <c r="J3" s="283" t="s">
        <v>81</v>
      </c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5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</row>
    <row r="4" spans="2:86" ht="3.75" customHeight="1">
      <c r="B4" s="256"/>
      <c r="C4" s="256"/>
      <c r="D4" s="256"/>
      <c r="E4" s="256"/>
      <c r="F4" s="256"/>
      <c r="G4" s="256"/>
      <c r="H4" s="256"/>
      <c r="I4" s="256"/>
      <c r="J4" s="286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8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</row>
    <row r="5" spans="2:86" ht="3.75" customHeight="1">
      <c r="B5" s="256"/>
      <c r="C5" s="256"/>
      <c r="D5" s="256"/>
      <c r="E5" s="256"/>
      <c r="F5" s="256"/>
      <c r="G5" s="256"/>
      <c r="H5" s="256"/>
      <c r="I5" s="256"/>
      <c r="J5" s="286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8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</row>
    <row r="6" spans="2:86" ht="3.75" customHeight="1">
      <c r="B6" s="256"/>
      <c r="C6" s="256"/>
      <c r="D6" s="256"/>
      <c r="E6" s="256"/>
      <c r="F6" s="256"/>
      <c r="G6" s="256"/>
      <c r="H6" s="256"/>
      <c r="I6" s="256"/>
      <c r="J6" s="289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</row>
    <row r="7" spans="8:86" ht="3.75" customHeight="1">
      <c r="H7" s="101"/>
      <c r="I7" s="101"/>
      <c r="J7" s="101"/>
      <c r="K7" s="101"/>
      <c r="L7" s="101"/>
      <c r="M7" s="101"/>
      <c r="N7" s="101"/>
      <c r="O7" s="101"/>
      <c r="P7" s="101"/>
      <c r="Q7" s="74"/>
      <c r="R7" s="74"/>
      <c r="S7" s="74"/>
      <c r="T7" s="74"/>
      <c r="U7" s="74"/>
      <c r="V7" s="74"/>
      <c r="W7" s="74"/>
      <c r="X7" s="7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</row>
    <row r="8" spans="26:101" ht="3.75" customHeight="1"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BM8" s="101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74"/>
      <c r="CH8" s="74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67"/>
      <c r="CT8" s="67"/>
      <c r="CU8" s="67"/>
      <c r="CV8" s="67"/>
      <c r="CW8" s="67"/>
    </row>
    <row r="9" spans="7:101" ht="3.75" customHeight="1"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276" t="s">
        <v>91</v>
      </c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69"/>
      <c r="BA9" s="69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74"/>
      <c r="CH9" s="74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67"/>
      <c r="CT9" s="67"/>
      <c r="CU9" s="67"/>
      <c r="CV9" s="67"/>
      <c r="CW9" s="67"/>
    </row>
    <row r="10" spans="7:101" ht="3.75" customHeight="1"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69"/>
      <c r="BA10" s="69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74"/>
      <c r="CH10" s="74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67"/>
      <c r="CT10" s="67"/>
      <c r="CU10" s="67"/>
      <c r="CV10" s="67"/>
      <c r="CW10" s="67"/>
    </row>
    <row r="11" spans="7:101" ht="3.75" customHeight="1"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69"/>
      <c r="BA11" s="69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74"/>
      <c r="CH11" s="74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67"/>
      <c r="CT11" s="67"/>
      <c r="CU11" s="67"/>
      <c r="CV11" s="67"/>
      <c r="CW11" s="67"/>
    </row>
    <row r="12" spans="7:101" ht="3.75" customHeight="1"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69"/>
      <c r="BA12" s="69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67"/>
      <c r="CT12" s="67"/>
      <c r="CU12" s="67"/>
      <c r="CV12" s="67"/>
      <c r="CW12" s="67"/>
    </row>
    <row r="13" spans="7:101" ht="3.75" customHeight="1"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69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69"/>
      <c r="BA13" s="69"/>
      <c r="BB13" s="83"/>
      <c r="BC13" s="82"/>
      <c r="BD13" s="68"/>
      <c r="BE13" s="68"/>
      <c r="BF13" s="68"/>
      <c r="BG13" s="68"/>
      <c r="BH13" s="68"/>
      <c r="BI13" s="68"/>
      <c r="BJ13" s="68"/>
      <c r="BK13" s="68"/>
      <c r="BL13" s="69"/>
      <c r="BM13" s="69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67"/>
      <c r="CT13" s="67"/>
      <c r="CU13" s="67"/>
      <c r="CV13" s="67"/>
      <c r="CW13" s="67"/>
    </row>
    <row r="14" spans="7:101" ht="3.75" customHeight="1"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69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69"/>
      <c r="BA14" s="69"/>
      <c r="BB14" s="282" t="s">
        <v>34</v>
      </c>
      <c r="BC14" s="282"/>
      <c r="BD14" s="271" t="str">
        <f>AO51</f>
        <v>Róbert Mezík</v>
      </c>
      <c r="BE14" s="271"/>
      <c r="BF14" s="271"/>
      <c r="BG14" s="271"/>
      <c r="BH14" s="271"/>
      <c r="BI14" s="271"/>
      <c r="BJ14" s="271"/>
      <c r="BK14" s="271"/>
      <c r="BL14" s="271"/>
      <c r="BM14" s="271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67"/>
      <c r="CT14" s="67"/>
      <c r="CU14" s="67"/>
      <c r="CV14" s="67"/>
      <c r="CW14" s="67"/>
    </row>
    <row r="15" spans="7:101" ht="3.75" customHeight="1"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69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69"/>
      <c r="BA15" s="69"/>
      <c r="BB15" s="282"/>
      <c r="BC15" s="282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67"/>
      <c r="CT15" s="67"/>
      <c r="CU15" s="67"/>
      <c r="CV15" s="67"/>
      <c r="CW15" s="67"/>
    </row>
    <row r="16" spans="7:101" ht="3.75" customHeight="1"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69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69"/>
      <c r="BA16" s="69"/>
      <c r="BB16" s="282"/>
      <c r="BC16" s="282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67"/>
      <c r="CT16" s="67"/>
      <c r="CU16" s="67"/>
      <c r="CV16" s="67"/>
      <c r="CW16" s="67"/>
    </row>
    <row r="17" spans="7:101" ht="3.75" customHeight="1"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69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69"/>
      <c r="BA17" s="69"/>
      <c r="BB17" s="282"/>
      <c r="BC17" s="282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67"/>
      <c r="CT17" s="67"/>
      <c r="CU17" s="67"/>
      <c r="CV17" s="67"/>
      <c r="CW17" s="67"/>
    </row>
    <row r="18" spans="1:101" ht="3.75" customHeight="1">
      <c r="A18" s="80"/>
      <c r="B18" s="80"/>
      <c r="C18" s="80"/>
      <c r="D18" s="88"/>
      <c r="E18" s="88"/>
      <c r="F18" s="88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87"/>
      <c r="W18" s="87"/>
      <c r="X18" s="68"/>
      <c r="Y18" s="68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69"/>
      <c r="BA18" s="69"/>
      <c r="BB18" s="70"/>
      <c r="BC18" s="82"/>
      <c r="BD18" s="83"/>
      <c r="BE18" s="83"/>
      <c r="BF18" s="83"/>
      <c r="BG18" s="83"/>
      <c r="BH18" s="83"/>
      <c r="BI18" s="83"/>
      <c r="BJ18" s="83"/>
      <c r="BK18" s="83"/>
      <c r="BL18" s="69"/>
      <c r="BM18" s="69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67"/>
      <c r="CT18" s="67"/>
      <c r="CU18" s="67"/>
      <c r="CV18" s="67"/>
      <c r="CW18" s="67"/>
    </row>
    <row r="19" spans="1:101" ht="3.75" customHeight="1">
      <c r="A19" s="80"/>
      <c r="B19" s="80"/>
      <c r="C19" s="80"/>
      <c r="D19" s="88"/>
      <c r="E19" s="88"/>
      <c r="F19" s="88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87"/>
      <c r="W19" s="87"/>
      <c r="X19" s="68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69"/>
      <c r="BA19" s="69"/>
      <c r="BB19" s="282" t="s">
        <v>37</v>
      </c>
      <c r="BC19" s="282"/>
      <c r="BD19" s="271" t="str">
        <f>AO27</f>
        <v>Dušan Sotoniak</v>
      </c>
      <c r="BE19" s="271"/>
      <c r="BF19" s="271"/>
      <c r="BG19" s="271"/>
      <c r="BH19" s="271"/>
      <c r="BI19" s="271"/>
      <c r="BJ19" s="271"/>
      <c r="BK19" s="271"/>
      <c r="BL19" s="271"/>
      <c r="BM19" s="271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67"/>
      <c r="CT19" s="67"/>
      <c r="CU19" s="67"/>
      <c r="CV19" s="67"/>
      <c r="CW19" s="67"/>
    </row>
    <row r="20" spans="1:101" ht="3.75" customHeight="1">
      <c r="A20" s="80"/>
      <c r="B20" s="80"/>
      <c r="C20" s="80"/>
      <c r="D20" s="88"/>
      <c r="E20" s="88"/>
      <c r="F20" s="88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87"/>
      <c r="W20" s="87"/>
      <c r="X20" s="70"/>
      <c r="Y20" s="68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4"/>
      <c r="AL20" s="82"/>
      <c r="AM20" s="82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82"/>
      <c r="BA20" s="69"/>
      <c r="BB20" s="282"/>
      <c r="BC20" s="282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67"/>
      <c r="CT20" s="67"/>
      <c r="CU20" s="67"/>
      <c r="CV20" s="67"/>
      <c r="CW20" s="67"/>
    </row>
    <row r="21" spans="1:101" ht="3.75" customHeight="1">
      <c r="A21" s="80"/>
      <c r="B21" s="80"/>
      <c r="C21" s="80"/>
      <c r="D21" s="88"/>
      <c r="E21" s="88"/>
      <c r="F21" s="88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271" t="s">
        <v>90</v>
      </c>
      <c r="W21" s="271"/>
      <c r="X21" s="271"/>
      <c r="Y21" s="271"/>
      <c r="Z21" s="271" t="str">
        <f>'BC2'!B12</f>
        <v>Dušan Sotoniak</v>
      </c>
      <c r="AA21" s="271"/>
      <c r="AB21" s="271"/>
      <c r="AC21" s="271"/>
      <c r="AD21" s="271"/>
      <c r="AE21" s="271"/>
      <c r="AF21" s="271"/>
      <c r="AG21" s="271"/>
      <c r="AH21" s="271"/>
      <c r="AI21" s="271"/>
      <c r="AJ21" s="258">
        <v>6</v>
      </c>
      <c r="AK21" s="258"/>
      <c r="AL21" s="82"/>
      <c r="AM21" s="82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82"/>
      <c r="BA21" s="69"/>
      <c r="BB21" s="282"/>
      <c r="BC21" s="282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67"/>
      <c r="CT21" s="67"/>
      <c r="CU21" s="67"/>
      <c r="CV21" s="67"/>
      <c r="CW21" s="67"/>
    </row>
    <row r="22" spans="1:101" ht="3.75" customHeight="1">
      <c r="A22" s="97"/>
      <c r="B22" s="67"/>
      <c r="C22" s="67"/>
      <c r="D22" s="67"/>
      <c r="E22" s="67"/>
      <c r="F22" s="67"/>
      <c r="G22" s="68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68"/>
      <c r="S22" s="68"/>
      <c r="T22" s="68"/>
      <c r="U22" s="68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58"/>
      <c r="AK22" s="258"/>
      <c r="AL22" s="102"/>
      <c r="AM22" s="82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82"/>
      <c r="BA22" s="69"/>
      <c r="BB22" s="282"/>
      <c r="BC22" s="282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67"/>
      <c r="CT22" s="67"/>
      <c r="CU22" s="67"/>
      <c r="CV22" s="67"/>
      <c r="CW22" s="67"/>
    </row>
    <row r="23" spans="1:101" ht="3.75" customHeight="1">
      <c r="A23" s="97"/>
      <c r="B23" s="67"/>
      <c r="C23" s="67"/>
      <c r="D23" s="67"/>
      <c r="E23" s="67"/>
      <c r="F23" s="67"/>
      <c r="G23" s="68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68"/>
      <c r="S23" s="68"/>
      <c r="T23" s="68"/>
      <c r="U23" s="68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58"/>
      <c r="AK23" s="258"/>
      <c r="AL23" s="269"/>
      <c r="AM23" s="82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82"/>
      <c r="BA23" s="69"/>
      <c r="BB23" s="69"/>
      <c r="BC23" s="82"/>
      <c r="BD23" s="83"/>
      <c r="BE23" s="83"/>
      <c r="BF23" s="83"/>
      <c r="BG23" s="83"/>
      <c r="BH23" s="83"/>
      <c r="BI23" s="83"/>
      <c r="BJ23" s="83"/>
      <c r="BK23" s="83"/>
      <c r="BL23" s="69"/>
      <c r="BM23" s="69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67"/>
      <c r="CT23" s="67"/>
      <c r="CU23" s="67"/>
      <c r="CV23" s="67"/>
      <c r="CW23" s="67"/>
    </row>
    <row r="24" spans="1:101" ht="3.75" customHeight="1">
      <c r="A24" s="80"/>
      <c r="B24" s="80"/>
      <c r="C24" s="80"/>
      <c r="D24" s="88"/>
      <c r="E24" s="88"/>
      <c r="F24" s="88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58"/>
      <c r="AK24" s="258"/>
      <c r="AL24" s="269"/>
      <c r="AM24" s="82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82"/>
      <c r="BA24" s="69"/>
      <c r="BB24" s="282" t="s">
        <v>38</v>
      </c>
      <c r="BC24" s="282"/>
      <c r="BD24" s="271" t="str">
        <f>Z79</f>
        <v>Martin Opát </v>
      </c>
      <c r="BE24" s="271"/>
      <c r="BF24" s="271"/>
      <c r="BG24" s="271"/>
      <c r="BH24" s="271"/>
      <c r="BI24" s="271"/>
      <c r="BJ24" s="271"/>
      <c r="BK24" s="271"/>
      <c r="BL24" s="271"/>
      <c r="BM24" s="271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67"/>
      <c r="CT24" s="67"/>
      <c r="CU24" s="67"/>
      <c r="CV24" s="67"/>
      <c r="CW24" s="67"/>
    </row>
    <row r="25" spans="1:101" ht="3.75" customHeight="1">
      <c r="A25" s="80"/>
      <c r="B25" s="80"/>
      <c r="C25" s="80"/>
      <c r="D25" s="88"/>
      <c r="E25" s="88"/>
      <c r="F25" s="88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87"/>
      <c r="W25" s="87"/>
      <c r="X25" s="70"/>
      <c r="Y25" s="68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5"/>
      <c r="AK25" s="84"/>
      <c r="AL25" s="269"/>
      <c r="AM25" s="82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82"/>
      <c r="BA25" s="69"/>
      <c r="BB25" s="282"/>
      <c r="BC25" s="282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67"/>
      <c r="CT25" s="67"/>
      <c r="CU25" s="67"/>
      <c r="CV25" s="67"/>
      <c r="CW25" s="67"/>
    </row>
    <row r="26" spans="1:101" ht="3.75" customHeight="1">
      <c r="A26" s="80"/>
      <c r="B26" s="80"/>
      <c r="C26" s="80"/>
      <c r="D26" s="88"/>
      <c r="E26" s="88"/>
      <c r="F26" s="88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87"/>
      <c r="W26" s="87"/>
      <c r="X26" s="68"/>
      <c r="Y26" s="68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5"/>
      <c r="AK26" s="84"/>
      <c r="AL26" s="78"/>
      <c r="AM26" s="82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82"/>
      <c r="BA26" s="69"/>
      <c r="BB26" s="282"/>
      <c r="BC26" s="282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67"/>
      <c r="CT26" s="67"/>
      <c r="CU26" s="67"/>
      <c r="CV26" s="67"/>
      <c r="CW26" s="67"/>
    </row>
    <row r="27" spans="1:101" ht="3.75" customHeight="1">
      <c r="A27" s="80"/>
      <c r="B27" s="80"/>
      <c r="C27" s="80"/>
      <c r="D27" s="88"/>
      <c r="E27" s="88"/>
      <c r="F27" s="88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87"/>
      <c r="W27" s="87"/>
      <c r="X27" s="68"/>
      <c r="Y27" s="68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5"/>
      <c r="AK27" s="84"/>
      <c r="AL27" s="78"/>
      <c r="AM27" s="82"/>
      <c r="AN27" s="255" t="s">
        <v>94</v>
      </c>
      <c r="AO27" s="255" t="str">
        <f>Z21</f>
        <v>Dušan Sotoniak</v>
      </c>
      <c r="AP27" s="255"/>
      <c r="AQ27" s="255"/>
      <c r="AR27" s="255"/>
      <c r="AS27" s="255"/>
      <c r="AT27" s="255"/>
      <c r="AU27" s="255"/>
      <c r="AV27" s="255"/>
      <c r="AW27" s="255"/>
      <c r="AX27" s="270">
        <v>2</v>
      </c>
      <c r="AY27" s="270"/>
      <c r="AZ27" s="82"/>
      <c r="BA27" s="69"/>
      <c r="BB27" s="282"/>
      <c r="BC27" s="282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67"/>
      <c r="CT27" s="67"/>
      <c r="CU27" s="67"/>
      <c r="CV27" s="67"/>
      <c r="CW27" s="67"/>
    </row>
    <row r="28" spans="1:101" ht="3.75" customHeight="1">
      <c r="A28" s="97"/>
      <c r="B28" s="67"/>
      <c r="C28" s="67"/>
      <c r="D28" s="67"/>
      <c r="E28" s="67"/>
      <c r="F28" s="67"/>
      <c r="G28" s="68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68"/>
      <c r="S28" s="68"/>
      <c r="T28" s="68"/>
      <c r="U28" s="68"/>
      <c r="V28" s="68"/>
      <c r="W28" s="86"/>
      <c r="X28" s="68"/>
      <c r="Y28" s="68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5"/>
      <c r="AK28" s="84"/>
      <c r="AL28" s="78"/>
      <c r="AM28" s="81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70"/>
      <c r="AY28" s="270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68"/>
      <c r="BN28" s="101"/>
      <c r="BO28" s="73"/>
      <c r="BP28" s="73"/>
      <c r="BQ28" s="73"/>
      <c r="BR28" s="73"/>
      <c r="BS28" s="73"/>
      <c r="BT28" s="73"/>
      <c r="BU28" s="73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67"/>
      <c r="CT28" s="67"/>
      <c r="CU28" s="67"/>
      <c r="CV28" s="67"/>
      <c r="CW28" s="67"/>
    </row>
    <row r="29" spans="1:101" ht="3.75" customHeight="1">
      <c r="A29" s="97"/>
      <c r="B29" s="67"/>
      <c r="C29" s="67"/>
      <c r="D29" s="67"/>
      <c r="E29" s="67"/>
      <c r="F29" s="67"/>
      <c r="G29" s="68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68"/>
      <c r="S29" s="68"/>
      <c r="T29" s="68"/>
      <c r="U29" s="68"/>
      <c r="V29" s="68"/>
      <c r="W29" s="86"/>
      <c r="X29" s="68"/>
      <c r="Y29" s="68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5"/>
      <c r="AK29" s="84"/>
      <c r="AL29" s="78"/>
      <c r="AM29" s="82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70"/>
      <c r="AY29" s="270"/>
      <c r="AZ29" s="269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68"/>
      <c r="BM29" s="70"/>
      <c r="BN29" s="80"/>
      <c r="BO29" s="80"/>
      <c r="BP29" s="80"/>
      <c r="BQ29" s="80"/>
      <c r="BR29" s="80"/>
      <c r="BS29" s="80"/>
      <c r="BT29" s="80"/>
      <c r="BU29" s="80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67"/>
      <c r="CT29" s="67"/>
      <c r="CU29" s="67"/>
      <c r="CV29" s="67"/>
      <c r="CW29" s="67"/>
    </row>
    <row r="30" spans="1:101" ht="3.75" customHeight="1">
      <c r="A30" s="80"/>
      <c r="B30" s="80"/>
      <c r="C30" s="80"/>
      <c r="D30" s="88"/>
      <c r="E30" s="88"/>
      <c r="F30" s="88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87"/>
      <c r="W30" s="87"/>
      <c r="X30" s="68"/>
      <c r="Y30" s="68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5"/>
      <c r="AK30" s="84"/>
      <c r="AL30" s="78"/>
      <c r="AM30" s="82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70"/>
      <c r="AY30" s="270"/>
      <c r="AZ30" s="269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68"/>
      <c r="BM30" s="70"/>
      <c r="BN30" s="80"/>
      <c r="BO30" s="80"/>
      <c r="BP30" s="80"/>
      <c r="BQ30" s="80"/>
      <c r="BR30" s="80"/>
      <c r="BS30" s="80"/>
      <c r="BT30" s="80"/>
      <c r="BU30" s="80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67"/>
      <c r="CT30" s="67"/>
      <c r="CU30" s="67"/>
      <c r="CV30" s="67"/>
      <c r="CW30" s="67"/>
    </row>
    <row r="31" spans="1:101" ht="3.75" customHeight="1">
      <c r="A31" s="80"/>
      <c r="B31" s="80"/>
      <c r="C31" s="80"/>
      <c r="D31" s="88"/>
      <c r="E31" s="88"/>
      <c r="F31" s="88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87"/>
      <c r="W31" s="87"/>
      <c r="X31" s="68"/>
      <c r="Y31" s="68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5"/>
      <c r="AK31" s="84"/>
      <c r="AL31" s="78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93"/>
      <c r="AY31" s="92"/>
      <c r="AZ31" s="269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68"/>
      <c r="BM31" s="7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79"/>
      <c r="CF31" s="79"/>
      <c r="CG31" s="74"/>
      <c r="CH31" s="74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67"/>
      <c r="CT31" s="67"/>
      <c r="CU31" s="67"/>
      <c r="CV31" s="67"/>
      <c r="CW31" s="67"/>
    </row>
    <row r="32" spans="1:101" ht="3.75" customHeight="1">
      <c r="A32" s="80"/>
      <c r="B32" s="80"/>
      <c r="C32" s="80"/>
      <c r="D32" s="88"/>
      <c r="E32" s="88"/>
      <c r="F32" s="88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87"/>
      <c r="W32" s="87"/>
      <c r="X32" s="70"/>
      <c r="Y32" s="68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5"/>
      <c r="AK32" s="84"/>
      <c r="AL32" s="257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93"/>
      <c r="AY32" s="92"/>
      <c r="AZ32" s="78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68"/>
      <c r="BM32" s="68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79"/>
      <c r="CF32" s="79"/>
      <c r="CG32" s="74"/>
      <c r="CH32" s="74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67"/>
      <c r="CT32" s="67"/>
      <c r="CU32" s="67"/>
      <c r="CV32" s="67"/>
      <c r="CW32" s="67"/>
    </row>
    <row r="33" spans="1:101" ht="3.75" customHeight="1">
      <c r="A33" s="80"/>
      <c r="B33" s="80"/>
      <c r="C33" s="80"/>
      <c r="D33" s="88"/>
      <c r="E33" s="88"/>
      <c r="F33" s="88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271" t="s">
        <v>89</v>
      </c>
      <c r="W33" s="271"/>
      <c r="X33" s="271"/>
      <c r="Y33" s="271"/>
      <c r="Z33" s="271" t="str">
        <f>'BC2'!B18</f>
        <v>Martin Opát </v>
      </c>
      <c r="AA33" s="271"/>
      <c r="AB33" s="271"/>
      <c r="AC33" s="271"/>
      <c r="AD33" s="271"/>
      <c r="AE33" s="271"/>
      <c r="AF33" s="271"/>
      <c r="AG33" s="271"/>
      <c r="AH33" s="271"/>
      <c r="AI33" s="271"/>
      <c r="AJ33" s="281">
        <v>1</v>
      </c>
      <c r="AK33" s="281"/>
      <c r="AL33" s="257"/>
      <c r="AM33" s="82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96"/>
      <c r="AY33" s="96"/>
      <c r="AZ33" s="78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68"/>
      <c r="BN33" s="74"/>
      <c r="BO33" s="73"/>
      <c r="BP33" s="73"/>
      <c r="BQ33" s="73"/>
      <c r="BR33" s="73"/>
      <c r="BS33" s="73"/>
      <c r="BT33" s="73"/>
      <c r="BU33" s="73"/>
      <c r="BV33" s="80"/>
      <c r="BW33" s="80"/>
      <c r="BX33" s="80"/>
      <c r="BY33" s="80"/>
      <c r="BZ33" s="80"/>
      <c r="CA33" s="80"/>
      <c r="CB33" s="80"/>
      <c r="CC33" s="80"/>
      <c r="CD33" s="80"/>
      <c r="CE33" s="79"/>
      <c r="CF33" s="79"/>
      <c r="CG33" s="80"/>
      <c r="CH33" s="74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67"/>
      <c r="CT33" s="67"/>
      <c r="CU33" s="67"/>
      <c r="CV33" s="67"/>
      <c r="CW33" s="67"/>
    </row>
    <row r="34" spans="1:101" ht="3.75" customHeight="1">
      <c r="A34" s="97"/>
      <c r="B34" s="67"/>
      <c r="C34" s="67"/>
      <c r="D34" s="67"/>
      <c r="E34" s="67"/>
      <c r="F34" s="67"/>
      <c r="G34" s="68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68"/>
      <c r="S34" s="68"/>
      <c r="T34" s="68"/>
      <c r="U34" s="68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81"/>
      <c r="AK34" s="281"/>
      <c r="AL34" s="257"/>
      <c r="AM34" s="82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96"/>
      <c r="AY34" s="96"/>
      <c r="AZ34" s="78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68"/>
      <c r="BN34" s="74"/>
      <c r="BO34" s="73"/>
      <c r="BP34" s="73"/>
      <c r="BQ34" s="73"/>
      <c r="BR34" s="73"/>
      <c r="BS34" s="73"/>
      <c r="BT34" s="73"/>
      <c r="BU34" s="73"/>
      <c r="BV34" s="80"/>
      <c r="BW34" s="80"/>
      <c r="BX34" s="80"/>
      <c r="BY34" s="80"/>
      <c r="BZ34" s="80"/>
      <c r="CA34" s="80"/>
      <c r="CB34" s="80"/>
      <c r="CC34" s="80"/>
      <c r="CD34" s="80"/>
      <c r="CE34" s="79"/>
      <c r="CF34" s="79"/>
      <c r="CG34" s="80"/>
      <c r="CH34" s="74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67"/>
      <c r="CT34" s="67"/>
      <c r="CU34" s="67"/>
      <c r="CV34" s="67"/>
      <c r="CW34" s="67"/>
    </row>
    <row r="35" spans="1:101" ht="3.75" customHeight="1">
      <c r="A35" s="97"/>
      <c r="B35" s="67"/>
      <c r="C35" s="67"/>
      <c r="D35" s="67"/>
      <c r="E35" s="67"/>
      <c r="F35" s="67"/>
      <c r="G35" s="68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68"/>
      <c r="S35" s="68"/>
      <c r="T35" s="68"/>
      <c r="U35" s="68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81"/>
      <c r="AK35" s="281"/>
      <c r="AL35" s="89"/>
      <c r="AM35" s="9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96"/>
      <c r="AY35" s="96"/>
      <c r="AZ35" s="98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68"/>
      <c r="BN35" s="74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5"/>
      <c r="CG35" s="80"/>
      <c r="CH35" s="74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67"/>
      <c r="CT35" s="67"/>
      <c r="CU35" s="67"/>
      <c r="CV35" s="67"/>
      <c r="CW35" s="67"/>
    </row>
    <row r="36" spans="1:101" ht="3.75" customHeight="1">
      <c r="A36" s="80"/>
      <c r="B36" s="80"/>
      <c r="C36" s="80"/>
      <c r="D36" s="88"/>
      <c r="E36" s="88"/>
      <c r="F36" s="88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81"/>
      <c r="AK36" s="281"/>
      <c r="AL36" s="100"/>
      <c r="AM36" s="9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96"/>
      <c r="AY36" s="96"/>
      <c r="AZ36" s="98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68"/>
      <c r="BN36" s="74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5"/>
      <c r="CG36" s="74"/>
      <c r="CH36" s="74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67"/>
      <c r="CT36" s="67"/>
      <c r="CU36" s="67"/>
      <c r="CV36" s="67"/>
      <c r="CW36" s="67"/>
    </row>
    <row r="37" spans="1:101" ht="3.75" customHeight="1">
      <c r="A37" s="80"/>
      <c r="B37" s="80"/>
      <c r="C37" s="80"/>
      <c r="D37" s="88"/>
      <c r="E37" s="88"/>
      <c r="F37" s="88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87"/>
      <c r="W37" s="87"/>
      <c r="X37" s="70"/>
      <c r="Y37" s="68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5"/>
      <c r="AK37" s="84"/>
      <c r="AL37" s="100"/>
      <c r="AM37" s="9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96"/>
      <c r="AY37" s="96"/>
      <c r="AZ37" s="98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68"/>
      <c r="BN37" s="74"/>
      <c r="BO37" s="73"/>
      <c r="BP37" s="73"/>
      <c r="BQ37" s="73"/>
      <c r="BR37" s="73"/>
      <c r="BS37" s="73"/>
      <c r="CF37" s="75"/>
      <c r="CG37" s="74"/>
      <c r="CH37" s="74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67"/>
      <c r="CT37" s="67"/>
      <c r="CU37" s="67"/>
      <c r="CV37" s="67"/>
      <c r="CW37" s="67"/>
    </row>
    <row r="38" spans="1:101" ht="3.75" customHeight="1">
      <c r="A38" s="80"/>
      <c r="B38" s="80"/>
      <c r="C38" s="80"/>
      <c r="D38" s="88"/>
      <c r="E38" s="88"/>
      <c r="F38" s="88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87"/>
      <c r="W38" s="87"/>
      <c r="X38" s="68"/>
      <c r="Y38" s="68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5"/>
      <c r="AK38" s="84"/>
      <c r="AL38" s="100"/>
      <c r="AM38" s="9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96"/>
      <c r="AY38" s="96"/>
      <c r="AZ38" s="98"/>
      <c r="BA38" s="82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74"/>
      <c r="BO38" s="73"/>
      <c r="BP38" s="73"/>
      <c r="BQ38" s="73"/>
      <c r="BR38" s="73"/>
      <c r="BS38" s="73"/>
      <c r="CF38" s="75"/>
      <c r="CG38" s="74"/>
      <c r="CH38" s="74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67"/>
      <c r="CT38" s="67"/>
      <c r="CU38" s="67"/>
      <c r="CV38" s="67"/>
      <c r="CW38" s="67"/>
    </row>
    <row r="39" spans="1:101" ht="3.75" customHeight="1">
      <c r="A39" s="80"/>
      <c r="B39" s="80"/>
      <c r="C39" s="80"/>
      <c r="D39" s="88"/>
      <c r="E39" s="88"/>
      <c r="F39" s="88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87"/>
      <c r="W39" s="87"/>
      <c r="X39" s="68"/>
      <c r="Y39" s="68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5"/>
      <c r="AK39" s="84"/>
      <c r="AL39" s="100"/>
      <c r="AM39" s="9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96"/>
      <c r="AY39" s="96"/>
      <c r="AZ39" s="98"/>
      <c r="BA39" s="82"/>
      <c r="BB39" s="258" t="str">
        <f>AO51</f>
        <v>Róbert Mezík</v>
      </c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74"/>
      <c r="BO39" s="73"/>
      <c r="BP39" s="73"/>
      <c r="BQ39" s="73"/>
      <c r="BR39" s="73"/>
      <c r="BS39" s="73"/>
      <c r="CF39" s="75"/>
      <c r="CG39" s="74"/>
      <c r="CH39" s="74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67"/>
      <c r="CT39" s="67"/>
      <c r="CU39" s="67"/>
      <c r="CV39" s="67"/>
      <c r="CW39" s="67"/>
    </row>
    <row r="40" spans="1:101" ht="3.75" customHeight="1">
      <c r="A40" s="97"/>
      <c r="B40" s="67"/>
      <c r="C40" s="67"/>
      <c r="D40" s="67"/>
      <c r="E40" s="67"/>
      <c r="F40" s="67"/>
      <c r="G40" s="68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68"/>
      <c r="S40" s="68"/>
      <c r="T40" s="68"/>
      <c r="U40" s="68"/>
      <c r="V40" s="68"/>
      <c r="W40" s="86"/>
      <c r="X40" s="68"/>
      <c r="Y40" s="68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5"/>
      <c r="AK40" s="84"/>
      <c r="AL40" s="100"/>
      <c r="AM40" s="9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96"/>
      <c r="AY40" s="96"/>
      <c r="AZ40" s="98"/>
      <c r="BA40" s="82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74"/>
      <c r="BO40" s="73"/>
      <c r="BP40" s="73"/>
      <c r="BQ40" s="73"/>
      <c r="BR40" s="73"/>
      <c r="BS40" s="73"/>
      <c r="CF40" s="75"/>
      <c r="CG40" s="74"/>
      <c r="CH40" s="74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67"/>
      <c r="CT40" s="67"/>
      <c r="CU40" s="67"/>
      <c r="CV40" s="67"/>
      <c r="CW40" s="67"/>
    </row>
    <row r="41" spans="1:101" ht="3.75" customHeight="1">
      <c r="A41" s="97"/>
      <c r="B41" s="67"/>
      <c r="C41" s="67"/>
      <c r="D41" s="67"/>
      <c r="E41" s="67"/>
      <c r="F41" s="67"/>
      <c r="G41" s="68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68"/>
      <c r="S41" s="68"/>
      <c r="T41" s="68"/>
      <c r="U41" s="68"/>
      <c r="V41" s="68"/>
      <c r="W41" s="86"/>
      <c r="X41" s="68"/>
      <c r="Y41" s="68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5"/>
      <c r="AK41" s="84"/>
      <c r="AL41" s="100"/>
      <c r="AM41" s="9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96"/>
      <c r="AY41" s="96"/>
      <c r="AZ41" s="98"/>
      <c r="BA41" s="71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74"/>
      <c r="BO41" s="73"/>
      <c r="BP41" s="73"/>
      <c r="BQ41" s="73"/>
      <c r="BR41" s="73"/>
      <c r="BS41" s="73"/>
      <c r="CF41" s="75"/>
      <c r="CG41" s="74"/>
      <c r="CH41" s="74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67"/>
      <c r="CT41" s="67"/>
      <c r="CU41" s="67"/>
      <c r="CV41" s="67"/>
      <c r="CW41" s="67"/>
    </row>
    <row r="42" spans="1:101" ht="3.75" customHeight="1">
      <c r="A42" s="80"/>
      <c r="B42" s="80"/>
      <c r="C42" s="80"/>
      <c r="D42" s="88"/>
      <c r="E42" s="88"/>
      <c r="F42" s="88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87"/>
      <c r="W42" s="87"/>
      <c r="X42" s="68"/>
      <c r="Y42" s="68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5"/>
      <c r="AK42" s="84"/>
      <c r="AL42" s="100"/>
      <c r="AM42" s="9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96"/>
      <c r="AY42" s="96"/>
      <c r="AZ42" s="98"/>
      <c r="BA42" s="6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74"/>
      <c r="BO42" s="73"/>
      <c r="BP42" s="73"/>
      <c r="BQ42" s="73"/>
      <c r="BR42" s="73"/>
      <c r="BS42" s="73"/>
      <c r="CF42" s="75"/>
      <c r="CG42" s="74"/>
      <c r="CH42" s="74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67"/>
      <c r="CT42" s="67"/>
      <c r="CU42" s="67"/>
      <c r="CV42" s="67"/>
      <c r="CW42" s="67"/>
    </row>
    <row r="43" spans="1:101" ht="3.75" customHeight="1">
      <c r="A43" s="80"/>
      <c r="B43" s="80"/>
      <c r="C43" s="80"/>
      <c r="D43" s="88"/>
      <c r="E43" s="88"/>
      <c r="F43" s="88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87"/>
      <c r="W43" s="87"/>
      <c r="X43" s="68"/>
      <c r="Y43" s="68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5"/>
      <c r="AK43" s="84"/>
      <c r="AL43" s="100"/>
      <c r="AM43" s="9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96"/>
      <c r="AY43" s="96"/>
      <c r="AZ43" s="98"/>
      <c r="BA43" s="68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68"/>
      <c r="BN43" s="74"/>
      <c r="BO43" s="73"/>
      <c r="BP43" s="73"/>
      <c r="BQ43" s="73"/>
      <c r="BR43" s="73"/>
      <c r="BS43" s="73"/>
      <c r="CF43" s="75"/>
      <c r="CG43" s="74"/>
      <c r="CH43" s="74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67"/>
      <c r="CT43" s="67"/>
      <c r="CU43" s="67"/>
      <c r="CV43" s="67"/>
      <c r="CW43" s="67"/>
    </row>
    <row r="44" spans="1:101" ht="3.75" customHeight="1">
      <c r="A44" s="80"/>
      <c r="B44" s="80"/>
      <c r="C44" s="80"/>
      <c r="D44" s="88"/>
      <c r="E44" s="88"/>
      <c r="F44" s="88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87"/>
      <c r="W44" s="87"/>
      <c r="X44" s="70"/>
      <c r="Y44" s="68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5"/>
      <c r="AK44" s="84"/>
      <c r="AL44" s="100"/>
      <c r="AM44" s="9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96"/>
      <c r="AY44" s="96"/>
      <c r="AZ44" s="98"/>
      <c r="BA44" s="68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69"/>
      <c r="CF44" s="75"/>
      <c r="CG44" s="74"/>
      <c r="CH44" s="74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67"/>
      <c r="CT44" s="67"/>
      <c r="CU44" s="67"/>
      <c r="CV44" s="67"/>
      <c r="CW44" s="67"/>
    </row>
    <row r="45" spans="1:101" ht="3.75" customHeight="1">
      <c r="A45" s="80"/>
      <c r="B45" s="80"/>
      <c r="C45" s="80"/>
      <c r="D45" s="88"/>
      <c r="E45" s="88"/>
      <c r="F45" s="88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71" t="s">
        <v>88</v>
      </c>
      <c r="W45" s="271"/>
      <c r="X45" s="271"/>
      <c r="Y45" s="271"/>
      <c r="Z45" s="271" t="str">
        <f>'BC2'!B17</f>
        <v>Róbert Mezík</v>
      </c>
      <c r="AA45" s="271"/>
      <c r="AB45" s="271"/>
      <c r="AC45" s="271"/>
      <c r="AD45" s="271"/>
      <c r="AE45" s="271"/>
      <c r="AF45" s="271"/>
      <c r="AG45" s="271"/>
      <c r="AH45" s="271"/>
      <c r="AI45" s="271"/>
      <c r="AJ45" s="258">
        <v>7</v>
      </c>
      <c r="AK45" s="258"/>
      <c r="AL45" s="100"/>
      <c r="AM45" s="9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96"/>
      <c r="AY45" s="96"/>
      <c r="AZ45" s="98"/>
      <c r="BA45" s="68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CF45" s="75"/>
      <c r="CG45" s="74"/>
      <c r="CH45" s="74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67"/>
      <c r="CT45" s="67"/>
      <c r="CU45" s="67"/>
      <c r="CV45" s="67"/>
      <c r="CW45" s="67"/>
    </row>
    <row r="46" spans="1:101" ht="3.75" customHeight="1">
      <c r="A46" s="97"/>
      <c r="B46" s="67"/>
      <c r="C46" s="67"/>
      <c r="D46" s="67"/>
      <c r="E46" s="67"/>
      <c r="F46" s="67"/>
      <c r="G46" s="68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68"/>
      <c r="S46" s="68"/>
      <c r="T46" s="68"/>
      <c r="U46" s="68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58"/>
      <c r="AK46" s="258"/>
      <c r="AL46" s="100"/>
      <c r="AM46" s="9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96"/>
      <c r="AY46" s="96"/>
      <c r="AZ46" s="98"/>
      <c r="BA46" s="68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CF46" s="75"/>
      <c r="CG46" s="74"/>
      <c r="CH46" s="74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67"/>
      <c r="CT46" s="67"/>
      <c r="CU46" s="67"/>
      <c r="CV46" s="67"/>
      <c r="CW46" s="67"/>
    </row>
    <row r="47" spans="1:101" ht="3.75" customHeight="1">
      <c r="A47" s="97"/>
      <c r="B47" s="67"/>
      <c r="C47" s="67"/>
      <c r="D47" s="67"/>
      <c r="E47" s="67"/>
      <c r="F47" s="67"/>
      <c r="G47" s="68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68"/>
      <c r="S47" s="68"/>
      <c r="T47" s="68"/>
      <c r="U47" s="68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58"/>
      <c r="AK47" s="258"/>
      <c r="AL47" s="269"/>
      <c r="AM47" s="82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96"/>
      <c r="AY47" s="96"/>
      <c r="AZ47" s="78"/>
      <c r="BA47" s="68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CF47" s="75"/>
      <c r="CG47" s="74"/>
      <c r="CH47" s="74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67"/>
      <c r="CT47" s="67"/>
      <c r="CU47" s="67"/>
      <c r="CV47" s="67"/>
      <c r="CW47" s="67"/>
    </row>
    <row r="48" spans="1:101" ht="3.75" customHeight="1">
      <c r="A48" s="80"/>
      <c r="B48" s="80"/>
      <c r="C48" s="80"/>
      <c r="D48" s="88"/>
      <c r="E48" s="88"/>
      <c r="F48" s="88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58"/>
      <c r="AK48" s="258"/>
      <c r="AL48" s="269"/>
      <c r="AM48" s="82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96"/>
      <c r="AY48" s="96"/>
      <c r="AZ48" s="78"/>
      <c r="BA48" s="68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CF48" s="75"/>
      <c r="CG48" s="74"/>
      <c r="CH48" s="74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67"/>
      <c r="CT48" s="67"/>
      <c r="CU48" s="67"/>
      <c r="CV48" s="67"/>
      <c r="CW48" s="67"/>
    </row>
    <row r="49" spans="1:101" ht="3.75" customHeight="1">
      <c r="A49" s="80"/>
      <c r="B49" s="80"/>
      <c r="C49" s="80"/>
      <c r="D49" s="88"/>
      <c r="E49" s="88"/>
      <c r="F49" s="88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87"/>
      <c r="W49" s="87"/>
      <c r="X49" s="70"/>
      <c r="Y49" s="68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5"/>
      <c r="AK49" s="84"/>
      <c r="AL49" s="269"/>
      <c r="AM49" s="82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4"/>
      <c r="AY49" s="94"/>
      <c r="AZ49" s="78"/>
      <c r="BA49" s="68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CF49" s="75"/>
      <c r="CG49" s="74"/>
      <c r="CH49" s="74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67"/>
      <c r="CT49" s="67"/>
      <c r="CU49" s="67"/>
      <c r="CV49" s="67"/>
      <c r="CW49" s="67"/>
    </row>
    <row r="50" spans="1:101" ht="3.75" customHeight="1">
      <c r="A50" s="80"/>
      <c r="B50" s="80"/>
      <c r="C50" s="80"/>
      <c r="D50" s="88"/>
      <c r="E50" s="88"/>
      <c r="F50" s="88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87"/>
      <c r="W50" s="87"/>
      <c r="X50" s="68"/>
      <c r="Y50" s="68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5"/>
      <c r="AK50" s="84"/>
      <c r="AL50" s="78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93"/>
      <c r="AY50" s="92"/>
      <c r="AZ50" s="257"/>
      <c r="BA50" s="68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CF50" s="75"/>
      <c r="CG50" s="74"/>
      <c r="CH50" s="74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67"/>
      <c r="CT50" s="67"/>
      <c r="CU50" s="67"/>
      <c r="CV50" s="67"/>
      <c r="CW50" s="67"/>
    </row>
    <row r="51" spans="1:101" ht="3.75" customHeight="1">
      <c r="A51" s="80"/>
      <c r="B51" s="80"/>
      <c r="C51" s="80"/>
      <c r="D51" s="88"/>
      <c r="E51" s="88"/>
      <c r="F51" s="88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87"/>
      <c r="W51" s="87"/>
      <c r="X51" s="68"/>
      <c r="Y51" s="68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5"/>
      <c r="AK51" s="84"/>
      <c r="AL51" s="78"/>
      <c r="AM51" s="82"/>
      <c r="AN51" s="255" t="s">
        <v>95</v>
      </c>
      <c r="AO51" s="255" t="str">
        <f>Z45</f>
        <v>Róbert Mezík</v>
      </c>
      <c r="AP51" s="255"/>
      <c r="AQ51" s="255"/>
      <c r="AR51" s="255"/>
      <c r="AS51" s="255"/>
      <c r="AT51" s="255"/>
      <c r="AU51" s="255"/>
      <c r="AV51" s="255"/>
      <c r="AW51" s="255"/>
      <c r="AX51" s="270">
        <v>6</v>
      </c>
      <c r="AY51" s="270"/>
      <c r="AZ51" s="257"/>
      <c r="BA51" s="68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CF51" s="75"/>
      <c r="CG51" s="74"/>
      <c r="CH51" s="74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67"/>
      <c r="CT51" s="67"/>
      <c r="CU51" s="67"/>
      <c r="CV51" s="67"/>
      <c r="CW51" s="67"/>
    </row>
    <row r="52" spans="1:101" ht="3.75" customHeight="1">
      <c r="A52" s="67"/>
      <c r="B52" s="67"/>
      <c r="C52" s="67"/>
      <c r="D52" s="67"/>
      <c r="E52" s="67"/>
      <c r="F52" s="67"/>
      <c r="G52" s="68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68"/>
      <c r="S52" s="68"/>
      <c r="T52" s="68"/>
      <c r="U52" s="68"/>
      <c r="V52" s="68"/>
      <c r="W52" s="86"/>
      <c r="X52" s="68"/>
      <c r="Y52" s="68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5"/>
      <c r="AK52" s="84"/>
      <c r="AL52" s="78"/>
      <c r="AM52" s="82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70"/>
      <c r="AY52" s="270"/>
      <c r="AZ52" s="257"/>
      <c r="BA52" s="68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CF52" s="75"/>
      <c r="CG52" s="74"/>
      <c r="CH52" s="74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67"/>
      <c r="CT52" s="67"/>
      <c r="CU52" s="67"/>
      <c r="CV52" s="67"/>
      <c r="CW52" s="67"/>
    </row>
    <row r="53" spans="1:101" ht="3.75" customHeight="1">
      <c r="A53" s="67"/>
      <c r="B53" s="67"/>
      <c r="C53" s="67"/>
      <c r="D53" s="67"/>
      <c r="E53" s="67"/>
      <c r="F53" s="67"/>
      <c r="G53" s="68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68"/>
      <c r="S53" s="68"/>
      <c r="T53" s="68"/>
      <c r="U53" s="68"/>
      <c r="V53" s="68"/>
      <c r="W53" s="86"/>
      <c r="X53" s="68"/>
      <c r="Y53" s="68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5"/>
      <c r="AK53" s="84"/>
      <c r="AL53" s="78"/>
      <c r="AM53" s="71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70"/>
      <c r="AY53" s="270"/>
      <c r="AZ53" s="82"/>
      <c r="BA53" s="68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CF53" s="75"/>
      <c r="CG53" s="74"/>
      <c r="CH53" s="74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67"/>
      <c r="CT53" s="67"/>
      <c r="CU53" s="67"/>
      <c r="CV53" s="67"/>
      <c r="CW53" s="67"/>
    </row>
    <row r="54" spans="1:101" ht="3.75" customHeight="1">
      <c r="A54" s="67"/>
      <c r="B54" s="80"/>
      <c r="C54" s="80"/>
      <c r="D54" s="88"/>
      <c r="E54" s="88"/>
      <c r="F54" s="88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87"/>
      <c r="W54" s="87"/>
      <c r="X54" s="68"/>
      <c r="Y54" s="68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5"/>
      <c r="AK54" s="84"/>
      <c r="AL54" s="78"/>
      <c r="AM54" s="82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70"/>
      <c r="AY54" s="270"/>
      <c r="AZ54" s="82"/>
      <c r="BA54" s="68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CF54" s="75"/>
      <c r="CG54" s="74"/>
      <c r="CH54" s="74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67"/>
      <c r="CT54" s="67"/>
      <c r="CU54" s="67"/>
      <c r="CV54" s="67"/>
      <c r="CW54" s="67"/>
    </row>
    <row r="55" spans="1:101" ht="3.75" customHeight="1">
      <c r="A55" s="67"/>
      <c r="B55" s="80"/>
      <c r="C55" s="80"/>
      <c r="D55" s="88"/>
      <c r="E55" s="88"/>
      <c r="F55" s="88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87"/>
      <c r="W55" s="87"/>
      <c r="X55" s="68"/>
      <c r="Y55" s="68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5"/>
      <c r="AK55" s="84"/>
      <c r="AL55" s="78"/>
      <c r="AM55" s="82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4"/>
      <c r="AZ55" s="82"/>
      <c r="BA55" s="68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CF55" s="79"/>
      <c r="CG55" s="74"/>
      <c r="CH55" s="74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67"/>
      <c r="CT55" s="67"/>
      <c r="CU55" s="67"/>
      <c r="CV55" s="67"/>
      <c r="CW55" s="67"/>
    </row>
    <row r="56" spans="1:101" ht="3.75" customHeight="1">
      <c r="A56" s="67"/>
      <c r="B56" s="80"/>
      <c r="C56" s="80"/>
      <c r="D56" s="88"/>
      <c r="E56" s="88"/>
      <c r="F56" s="88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87"/>
      <c r="W56" s="87"/>
      <c r="X56" s="70"/>
      <c r="Y56" s="68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5"/>
      <c r="AK56" s="84"/>
      <c r="AL56" s="257"/>
      <c r="AM56" s="82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4"/>
      <c r="AZ56" s="82"/>
      <c r="BA56" s="68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CD56" s="80"/>
      <c r="CE56" s="73"/>
      <c r="CF56" s="79"/>
      <c r="CG56" s="74"/>
      <c r="CH56" s="74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67"/>
      <c r="CT56" s="67"/>
      <c r="CU56" s="67"/>
      <c r="CV56" s="67"/>
      <c r="CW56" s="67"/>
    </row>
    <row r="57" spans="1:101" ht="3.75" customHeight="1">
      <c r="A57" s="67"/>
      <c r="B57" s="80"/>
      <c r="C57" s="80"/>
      <c r="D57" s="88"/>
      <c r="E57" s="88"/>
      <c r="F57" s="88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271" t="s">
        <v>87</v>
      </c>
      <c r="W57" s="271"/>
      <c r="X57" s="271"/>
      <c r="Y57" s="271"/>
      <c r="Z57" s="271" t="str">
        <f>'BC2'!B11</f>
        <v>Tomáš Král</v>
      </c>
      <c r="AA57" s="271"/>
      <c r="AB57" s="271"/>
      <c r="AC57" s="271"/>
      <c r="AD57" s="271"/>
      <c r="AE57" s="271"/>
      <c r="AF57" s="271"/>
      <c r="AG57" s="271"/>
      <c r="AH57" s="271"/>
      <c r="AI57" s="271"/>
      <c r="AJ57" s="258">
        <v>0</v>
      </c>
      <c r="AK57" s="258"/>
      <c r="AL57" s="257"/>
      <c r="AM57" s="82"/>
      <c r="AN57" s="272" t="s">
        <v>23</v>
      </c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4"/>
      <c r="AZ57" s="68"/>
      <c r="BA57" s="68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CD57" s="80"/>
      <c r="CE57" s="73"/>
      <c r="CF57" s="79"/>
      <c r="CG57" s="74"/>
      <c r="CH57" s="74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67"/>
      <c r="CT57" s="67"/>
      <c r="CU57" s="67"/>
      <c r="CV57" s="67"/>
      <c r="CW57" s="67"/>
    </row>
    <row r="58" spans="1:101" ht="3.75" customHeight="1">
      <c r="A58" s="67"/>
      <c r="B58" s="67"/>
      <c r="C58" s="67"/>
      <c r="D58" s="67"/>
      <c r="E58" s="67"/>
      <c r="F58" s="67"/>
      <c r="G58" s="68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68"/>
      <c r="S58" s="68"/>
      <c r="T58" s="68"/>
      <c r="U58" s="68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58"/>
      <c r="AK58" s="258"/>
      <c r="AL58" s="257"/>
      <c r="AM58" s="82"/>
      <c r="AN58" s="275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7"/>
      <c r="AZ58" s="91"/>
      <c r="BA58" s="91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CD58" s="80"/>
      <c r="CE58" s="73"/>
      <c r="CF58" s="79"/>
      <c r="CG58" s="74"/>
      <c r="CH58" s="74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67"/>
      <c r="CT58" s="67"/>
      <c r="CU58" s="67"/>
      <c r="CV58" s="67"/>
      <c r="CW58" s="67"/>
    </row>
    <row r="59" spans="1:101" ht="3.75" customHeight="1">
      <c r="A59" s="67"/>
      <c r="B59" s="67"/>
      <c r="C59" s="67"/>
      <c r="D59" s="67"/>
      <c r="E59" s="67"/>
      <c r="F59" s="67"/>
      <c r="G59" s="68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68"/>
      <c r="S59" s="68"/>
      <c r="T59" s="68"/>
      <c r="U59" s="68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58"/>
      <c r="AK59" s="258"/>
      <c r="AL59" s="82"/>
      <c r="AM59" s="82"/>
      <c r="AN59" s="275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7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CD59" s="74"/>
      <c r="CE59" s="74"/>
      <c r="CF59" s="75"/>
      <c r="CG59" s="74"/>
      <c r="CH59" s="74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67"/>
      <c r="CT59" s="67"/>
      <c r="CU59" s="67"/>
      <c r="CV59" s="67"/>
      <c r="CW59" s="67"/>
    </row>
    <row r="60" spans="1:101" ht="3.75" customHeight="1">
      <c r="A60" s="67"/>
      <c r="B60" s="80"/>
      <c r="C60" s="80"/>
      <c r="D60" s="88"/>
      <c r="E60" s="88"/>
      <c r="F60" s="88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58"/>
      <c r="AK60" s="258"/>
      <c r="AL60" s="82"/>
      <c r="AM60" s="89"/>
      <c r="AN60" s="275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7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CD60" s="74"/>
      <c r="CE60" s="74"/>
      <c r="CF60" s="75"/>
      <c r="CG60" s="74"/>
      <c r="CH60" s="74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67"/>
      <c r="CT60" s="67"/>
      <c r="CU60" s="67"/>
      <c r="CV60" s="67"/>
      <c r="CW60" s="67"/>
    </row>
    <row r="61" spans="1:101" ht="3.75" customHeight="1">
      <c r="A61" s="67"/>
      <c r="B61" s="80"/>
      <c r="C61" s="80"/>
      <c r="D61" s="88"/>
      <c r="E61" s="88"/>
      <c r="F61" s="88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87"/>
      <c r="W61" s="87"/>
      <c r="X61" s="70"/>
      <c r="Y61" s="68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4"/>
      <c r="AL61" s="82"/>
      <c r="AM61" s="82"/>
      <c r="AN61" s="275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7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CD61" s="74"/>
      <c r="CE61" s="74"/>
      <c r="CF61" s="75"/>
      <c r="CG61" s="74"/>
      <c r="CH61" s="74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67"/>
      <c r="CT61" s="67"/>
      <c r="CU61" s="67"/>
      <c r="CV61" s="67"/>
      <c r="CW61" s="67"/>
    </row>
    <row r="62" spans="1:101" ht="3.75" customHeight="1">
      <c r="A62" s="67"/>
      <c r="B62" s="80"/>
      <c r="C62" s="80"/>
      <c r="D62" s="88"/>
      <c r="E62" s="88"/>
      <c r="F62" s="88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87"/>
      <c r="W62" s="87"/>
      <c r="X62" s="68"/>
      <c r="Y62" s="68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4"/>
      <c r="AL62" s="82"/>
      <c r="AM62" s="82"/>
      <c r="AN62" s="275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7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CD62" s="74"/>
      <c r="CE62" s="74"/>
      <c r="CF62" s="75"/>
      <c r="CG62" s="74"/>
      <c r="CH62" s="74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67"/>
      <c r="CT62" s="67"/>
      <c r="CU62" s="67"/>
      <c r="CV62" s="67"/>
      <c r="CW62" s="67"/>
    </row>
    <row r="63" spans="1:101" ht="3.75" customHeight="1">
      <c r="A63" s="67"/>
      <c r="B63" s="80"/>
      <c r="C63" s="80"/>
      <c r="D63" s="88"/>
      <c r="E63" s="88"/>
      <c r="F63" s="88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87"/>
      <c r="W63" s="87"/>
      <c r="X63" s="68"/>
      <c r="Y63" s="68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4"/>
      <c r="AL63" s="82"/>
      <c r="AM63" s="82"/>
      <c r="AN63" s="275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7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CD63" s="74"/>
      <c r="CE63" s="74"/>
      <c r="CF63" s="75"/>
      <c r="CG63" s="74"/>
      <c r="CH63" s="74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67"/>
      <c r="CT63" s="67"/>
      <c r="CU63" s="67"/>
      <c r="CV63" s="67"/>
      <c r="CW63" s="67"/>
    </row>
    <row r="64" spans="1:101" ht="3.75" customHeight="1">
      <c r="A64" s="67"/>
      <c r="B64" s="67"/>
      <c r="C64" s="67"/>
      <c r="D64" s="67"/>
      <c r="E64" s="67"/>
      <c r="F64" s="67"/>
      <c r="G64" s="68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68"/>
      <c r="S64" s="68"/>
      <c r="T64" s="68"/>
      <c r="U64" s="68"/>
      <c r="V64" s="68"/>
      <c r="W64" s="86"/>
      <c r="X64" s="68"/>
      <c r="Y64" s="68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4"/>
      <c r="AL64" s="82"/>
      <c r="AM64" s="82"/>
      <c r="AN64" s="275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7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5"/>
      <c r="CG64" s="74"/>
      <c r="CH64" s="74"/>
      <c r="CI64" s="73"/>
      <c r="CJ64" s="73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</row>
    <row r="65" spans="7:101" ht="3.75" customHeight="1">
      <c r="G65" s="82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68"/>
      <c r="S65" s="68"/>
      <c r="T65" s="68"/>
      <c r="U65" s="68"/>
      <c r="V65" s="68"/>
      <c r="W65" s="84"/>
      <c r="X65" s="82"/>
      <c r="Y65" s="82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4"/>
      <c r="AL65" s="82"/>
      <c r="AM65" s="82"/>
      <c r="AN65" s="275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7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5"/>
      <c r="CG65" s="74"/>
      <c r="CH65" s="74"/>
      <c r="CI65" s="73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</row>
    <row r="66" spans="7:101" ht="3.75" customHeight="1">
      <c r="G66" s="70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8"/>
      <c r="AM66" s="82"/>
      <c r="AN66" s="275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7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5"/>
      <c r="CG66" s="74"/>
      <c r="CH66" s="74"/>
      <c r="CI66" s="73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</row>
    <row r="67" spans="7:101" ht="3.75" customHeight="1">
      <c r="G67" s="70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8"/>
      <c r="AM67" s="82"/>
      <c r="AN67" s="275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7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5"/>
      <c r="CG67" s="74"/>
      <c r="CH67" s="74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</row>
    <row r="68" spans="7:101" ht="3.75" customHeight="1">
      <c r="G68" s="70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8"/>
      <c r="AM68" s="82"/>
      <c r="AN68" s="278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80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5"/>
      <c r="CG68" s="74"/>
      <c r="CH68" s="74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</row>
    <row r="69" spans="7:101" ht="3.75" customHeight="1">
      <c r="G69" s="70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259" t="s">
        <v>86</v>
      </c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5"/>
      <c r="CG69" s="74"/>
      <c r="CH69" s="74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</row>
    <row r="70" spans="7:101" ht="3.75" customHeight="1">
      <c r="G70" s="82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83"/>
      <c r="AK70" s="69"/>
      <c r="AL70" s="69"/>
      <c r="AM70" s="6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5"/>
      <c r="CG70" s="74"/>
      <c r="CH70" s="74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</row>
    <row r="71" spans="7:101" ht="3.75" customHeight="1">
      <c r="G71" s="82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83"/>
      <c r="AK71" s="69"/>
      <c r="AL71" s="69"/>
      <c r="AM71" s="6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5"/>
      <c r="CG71" s="74"/>
      <c r="CH71" s="74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</row>
    <row r="72" spans="7:101" ht="3.75" customHeight="1">
      <c r="G72" s="70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83"/>
      <c r="AK72" s="69"/>
      <c r="AL72" s="69"/>
      <c r="AM72" s="6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5"/>
      <c r="CG72" s="74"/>
      <c r="CH72" s="74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</row>
    <row r="73" spans="2:101" ht="3.75" customHeight="1">
      <c r="B73" s="260" t="s">
        <v>96</v>
      </c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2"/>
      <c r="N73" s="255" t="str">
        <f>Z33</f>
        <v>Martin Opát </v>
      </c>
      <c r="O73" s="255"/>
      <c r="P73" s="255"/>
      <c r="Q73" s="255"/>
      <c r="R73" s="255"/>
      <c r="S73" s="255"/>
      <c r="T73" s="255"/>
      <c r="U73" s="255"/>
      <c r="V73" s="258">
        <v>6</v>
      </c>
      <c r="W73" s="258"/>
      <c r="X73" s="82"/>
      <c r="Y73" s="82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83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70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5"/>
      <c r="CG73" s="74"/>
      <c r="CH73" s="74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</row>
    <row r="74" spans="2:101" ht="3.75" customHeight="1">
      <c r="B74" s="263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5"/>
      <c r="N74" s="255"/>
      <c r="O74" s="255"/>
      <c r="P74" s="255"/>
      <c r="Q74" s="255"/>
      <c r="R74" s="255"/>
      <c r="S74" s="255"/>
      <c r="T74" s="255"/>
      <c r="U74" s="255"/>
      <c r="V74" s="258"/>
      <c r="W74" s="258"/>
      <c r="X74" s="81"/>
      <c r="Y74" s="68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83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70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5"/>
      <c r="CG74" s="74"/>
      <c r="CH74" s="74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</row>
    <row r="75" spans="2:101" ht="3.75" customHeight="1">
      <c r="B75" s="263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5"/>
      <c r="N75" s="255"/>
      <c r="O75" s="255"/>
      <c r="P75" s="255"/>
      <c r="Q75" s="255"/>
      <c r="R75" s="255"/>
      <c r="S75" s="255"/>
      <c r="T75" s="255"/>
      <c r="U75" s="255"/>
      <c r="V75" s="258"/>
      <c r="W75" s="258"/>
      <c r="X75" s="269"/>
      <c r="Y75" s="68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83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253"/>
      <c r="AV75" s="253"/>
      <c r="AW75" s="253"/>
      <c r="AX75" s="253"/>
      <c r="AY75" s="253"/>
      <c r="AZ75" s="253"/>
      <c r="BA75" s="253"/>
      <c r="BB75" s="253"/>
      <c r="BC75" s="253"/>
      <c r="BD75" s="253"/>
      <c r="BE75" s="253"/>
      <c r="BF75" s="253"/>
      <c r="BG75" s="253"/>
      <c r="BH75" s="253"/>
      <c r="BI75" s="253"/>
      <c r="BJ75" s="253"/>
      <c r="BK75" s="253"/>
      <c r="BL75" s="253"/>
      <c r="BM75" s="25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5"/>
      <c r="CG75" s="74"/>
      <c r="CH75" s="74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</row>
    <row r="76" spans="2:101" ht="3.75" customHeight="1">
      <c r="B76" s="266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8"/>
      <c r="N76" s="255"/>
      <c r="O76" s="255"/>
      <c r="P76" s="255"/>
      <c r="Q76" s="255"/>
      <c r="R76" s="255"/>
      <c r="S76" s="255"/>
      <c r="T76" s="255"/>
      <c r="U76" s="255"/>
      <c r="V76" s="258"/>
      <c r="W76" s="258"/>
      <c r="X76" s="269"/>
      <c r="Y76" s="68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8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5"/>
      <c r="CG76" s="74"/>
      <c r="CH76" s="74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</row>
    <row r="77" spans="7:101" ht="3.75" customHeight="1">
      <c r="G77" s="82"/>
      <c r="H77" s="69"/>
      <c r="I77" s="69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269"/>
      <c r="Y77" s="68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68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253"/>
      <c r="AV77" s="253"/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5"/>
      <c r="CG77" s="74"/>
      <c r="CH77" s="74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</row>
    <row r="78" spans="7:101" ht="3.75" customHeight="1">
      <c r="G78" s="70"/>
      <c r="H78" s="69"/>
      <c r="I78" s="69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78"/>
      <c r="Y78" s="68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68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5"/>
      <c r="CG78" s="80"/>
      <c r="CH78" s="74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</row>
    <row r="79" spans="7:101" ht="3.75" customHeight="1">
      <c r="G79" s="70"/>
      <c r="H79" s="254" t="s">
        <v>85</v>
      </c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69"/>
      <c r="W79" s="69"/>
      <c r="X79" s="78"/>
      <c r="Y79" s="68"/>
      <c r="Z79" s="255" t="str">
        <f>N73</f>
        <v>Martin Opát </v>
      </c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77"/>
      <c r="AV79" s="77"/>
      <c r="AW79" s="77"/>
      <c r="AX79" s="77"/>
      <c r="AY79" s="77"/>
      <c r="AZ79" s="77"/>
      <c r="BA79" s="77"/>
      <c r="BB79" s="77"/>
      <c r="BC79" s="77"/>
      <c r="BD79" s="82"/>
      <c r="BE79" s="82"/>
      <c r="BF79" s="82"/>
      <c r="BG79" s="82"/>
      <c r="BH79" s="82"/>
      <c r="BI79" s="68"/>
      <c r="BJ79" s="69"/>
      <c r="BK79" s="69"/>
      <c r="BL79" s="69"/>
      <c r="BM79" s="69"/>
      <c r="BZ79" s="80"/>
      <c r="CA79" s="80"/>
      <c r="CB79" s="80"/>
      <c r="CC79" s="80"/>
      <c r="CD79" s="80"/>
      <c r="CE79" s="79"/>
      <c r="CF79" s="79"/>
      <c r="CG79" s="80"/>
      <c r="CH79" s="74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</row>
    <row r="80" spans="7:101" ht="3.75" customHeight="1">
      <c r="G80" s="70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69"/>
      <c r="W80" s="69"/>
      <c r="X80" s="78"/>
      <c r="Y80" s="81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  <c r="BH80" s="256"/>
      <c r="BI80" s="256"/>
      <c r="BJ80" s="256"/>
      <c r="BK80" s="256"/>
      <c r="BL80" s="256"/>
      <c r="BM80" s="256"/>
      <c r="BZ80" s="80"/>
      <c r="CA80" s="80"/>
      <c r="CB80" s="80"/>
      <c r="CC80" s="80"/>
      <c r="CD80" s="80"/>
      <c r="CE80" s="79"/>
      <c r="CF80" s="79"/>
      <c r="CG80" s="80"/>
      <c r="CH80" s="74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</row>
    <row r="81" spans="7:101" ht="3.75" customHeight="1">
      <c r="G81" s="70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69"/>
      <c r="W81" s="69"/>
      <c r="X81" s="78"/>
      <c r="Y81" s="68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56"/>
      <c r="BJ81" s="256"/>
      <c r="BK81" s="256"/>
      <c r="BL81" s="256"/>
      <c r="BM81" s="256"/>
      <c r="BZ81" s="80"/>
      <c r="CA81" s="80"/>
      <c r="CB81" s="80"/>
      <c r="CC81" s="80"/>
      <c r="CD81" s="80"/>
      <c r="CE81" s="79"/>
      <c r="CF81" s="79"/>
      <c r="CG81" s="74"/>
      <c r="CH81" s="74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67"/>
      <c r="CT81" s="67"/>
      <c r="CU81" s="67"/>
      <c r="CV81" s="67"/>
      <c r="CW81" s="67"/>
    </row>
    <row r="82" spans="7:101" ht="3.75" customHeight="1">
      <c r="G82" s="70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69"/>
      <c r="W82" s="69"/>
      <c r="X82" s="78"/>
      <c r="Y82" s="68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256"/>
      <c r="BJ82" s="256"/>
      <c r="BK82" s="256"/>
      <c r="BL82" s="256"/>
      <c r="BM82" s="256"/>
      <c r="CF82" s="79"/>
      <c r="CG82" s="74"/>
      <c r="CH82" s="74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67"/>
      <c r="CT82" s="67"/>
      <c r="CU82" s="67"/>
      <c r="CV82" s="67"/>
      <c r="CW82" s="67"/>
    </row>
    <row r="83" spans="7:101" ht="3.75" customHeight="1">
      <c r="G83" s="70"/>
      <c r="H83" s="69"/>
      <c r="I83" s="69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7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  <c r="BH83" s="256"/>
      <c r="BI83" s="256"/>
      <c r="BJ83" s="256"/>
      <c r="BK83" s="256"/>
      <c r="BL83" s="256"/>
      <c r="BM83" s="256"/>
      <c r="CF83" s="75"/>
      <c r="CG83" s="74"/>
      <c r="CH83" s="74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67"/>
      <c r="CT83" s="67"/>
      <c r="CU83" s="67"/>
      <c r="CV83" s="67"/>
      <c r="CW83" s="67"/>
    </row>
    <row r="84" spans="7:101" ht="3.75" customHeight="1">
      <c r="G84" s="70"/>
      <c r="H84" s="69"/>
      <c r="I84" s="69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257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77"/>
      <c r="AV84" s="77"/>
      <c r="AW84" s="77"/>
      <c r="AX84" s="77"/>
      <c r="AY84" s="77"/>
      <c r="AZ84" s="76"/>
      <c r="BA84" s="76"/>
      <c r="BB84" s="76"/>
      <c r="BC84" s="76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CF84" s="75"/>
      <c r="CG84" s="74"/>
      <c r="CH84" s="74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67"/>
      <c r="CT84" s="67"/>
      <c r="CU84" s="67"/>
      <c r="CV84" s="67"/>
      <c r="CW84" s="67"/>
    </row>
    <row r="85" spans="2:101" ht="3.75" customHeight="1">
      <c r="B85" s="255" t="s">
        <v>100</v>
      </c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 t="str">
        <f>Z57</f>
        <v>Tomáš Král</v>
      </c>
      <c r="O85" s="255"/>
      <c r="P85" s="255"/>
      <c r="Q85" s="255"/>
      <c r="R85" s="255"/>
      <c r="S85" s="255"/>
      <c r="T85" s="255"/>
      <c r="U85" s="255"/>
      <c r="V85" s="258">
        <v>5</v>
      </c>
      <c r="W85" s="258"/>
      <c r="X85" s="257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256"/>
      <c r="AV85" s="256"/>
      <c r="AW85" s="256"/>
      <c r="AX85" s="256"/>
      <c r="AY85" s="256"/>
      <c r="AZ85" s="256"/>
      <c r="BA85" s="256"/>
      <c r="BB85" s="256"/>
      <c r="BC85" s="256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</row>
    <row r="86" spans="2:101" ht="3.75" customHeight="1"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8"/>
      <c r="W86" s="258"/>
      <c r="X86" s="257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256"/>
      <c r="AV86" s="256"/>
      <c r="AW86" s="256"/>
      <c r="AX86" s="256"/>
      <c r="AY86" s="256"/>
      <c r="AZ86" s="256"/>
      <c r="BA86" s="256"/>
      <c r="BB86" s="256"/>
      <c r="BC86" s="256"/>
      <c r="BD86" s="252"/>
      <c r="BE86" s="252"/>
      <c r="BF86" s="252"/>
      <c r="BG86" s="252"/>
      <c r="BH86" s="252"/>
      <c r="BI86" s="252"/>
      <c r="BJ86" s="252"/>
      <c r="BK86" s="252"/>
      <c r="BL86" s="252"/>
      <c r="BM86" s="252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</row>
    <row r="87" spans="2:101" ht="3.75" customHeight="1"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8"/>
      <c r="W87" s="258"/>
      <c r="X87" s="71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256"/>
      <c r="AV87" s="256"/>
      <c r="AW87" s="256"/>
      <c r="AX87" s="256"/>
      <c r="AY87" s="256"/>
      <c r="AZ87" s="256"/>
      <c r="BA87" s="256"/>
      <c r="BB87" s="256"/>
      <c r="BC87" s="256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</row>
    <row r="88" spans="2:101" ht="3.75" customHeight="1"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8"/>
      <c r="W88" s="258"/>
      <c r="X88" s="68"/>
      <c r="Y88" s="68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256"/>
      <c r="AV88" s="256"/>
      <c r="AW88" s="256"/>
      <c r="AX88" s="256"/>
      <c r="AY88" s="256"/>
      <c r="AZ88" s="256"/>
      <c r="BA88" s="256"/>
      <c r="BB88" s="256"/>
      <c r="BC88" s="256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</row>
  </sheetData>
  <sheetProtection selectLockedCells="1" selectUnlockedCells="1"/>
  <mergeCells count="52">
    <mergeCell ref="B3:I6"/>
    <mergeCell ref="J3:BM6"/>
    <mergeCell ref="AN9:AY24"/>
    <mergeCell ref="BB14:BC17"/>
    <mergeCell ref="BD14:BM17"/>
    <mergeCell ref="BB19:BC22"/>
    <mergeCell ref="BD19:BM22"/>
    <mergeCell ref="V21:Y24"/>
    <mergeCell ref="Z21:AI24"/>
    <mergeCell ref="AJ21:AK24"/>
    <mergeCell ref="AL23:AL25"/>
    <mergeCell ref="BB24:BC27"/>
    <mergeCell ref="BD24:BM27"/>
    <mergeCell ref="AN27:AN30"/>
    <mergeCell ref="AO27:AW30"/>
    <mergeCell ref="AX27:AY30"/>
    <mergeCell ref="AZ29:AZ31"/>
    <mergeCell ref="AL32:AL34"/>
    <mergeCell ref="V33:Y36"/>
    <mergeCell ref="Z33:AI36"/>
    <mergeCell ref="AJ33:AK36"/>
    <mergeCell ref="BB39:BM42"/>
    <mergeCell ref="V45:Y48"/>
    <mergeCell ref="Z45:AI48"/>
    <mergeCell ref="AJ45:AK48"/>
    <mergeCell ref="AL47:AL49"/>
    <mergeCell ref="AZ50:AZ52"/>
    <mergeCell ref="AN51:AN54"/>
    <mergeCell ref="AO51:AW54"/>
    <mergeCell ref="AX51:AY54"/>
    <mergeCell ref="AL56:AL58"/>
    <mergeCell ref="V57:Y60"/>
    <mergeCell ref="Z57:AI60"/>
    <mergeCell ref="AJ57:AK60"/>
    <mergeCell ref="AN57:AY68"/>
    <mergeCell ref="AU85:BC88"/>
    <mergeCell ref="AN69:AY72"/>
    <mergeCell ref="B73:M76"/>
    <mergeCell ref="N73:U76"/>
    <mergeCell ref="V73:W76"/>
    <mergeCell ref="X75:X77"/>
    <mergeCell ref="AU75:BC78"/>
    <mergeCell ref="BD85:BM88"/>
    <mergeCell ref="BD75:BM78"/>
    <mergeCell ref="H79:U82"/>
    <mergeCell ref="Z79:AJ82"/>
    <mergeCell ref="AU80:BC83"/>
    <mergeCell ref="BD80:BM83"/>
    <mergeCell ref="X84:X86"/>
    <mergeCell ref="B85:M88"/>
    <mergeCell ref="N85:U88"/>
    <mergeCell ref="V85:W88"/>
  </mergeCells>
  <printOptions/>
  <pageMargins left="0.75" right="0.75" top="1" bottom="1" header="0.5118055555555555" footer="0.5118055555555555"/>
  <pageSetup horizontalDpi="300" verticalDpi="300" orientation="landscape" paperSize="9" scale="10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zoomScalePageLayoutView="0" workbookViewId="0" topLeftCell="A10">
      <selection activeCell="Y18" sqref="Y18:Z19"/>
    </sheetView>
  </sheetViews>
  <sheetFormatPr defaultColWidth="9.140625" defaultRowHeight="15"/>
  <cols>
    <col min="1" max="1" width="4.7109375" style="0" customWidth="1"/>
    <col min="2" max="2" width="16.140625" style="2" customWidth="1"/>
    <col min="3" max="4" width="5.7109375" style="2" customWidth="1"/>
    <col min="5" max="5" width="5.7109375" style="2" hidden="1" customWidth="1"/>
    <col min="6" max="7" width="5.7109375" style="2" customWidth="1"/>
    <col min="8" max="8" width="5.7109375" style="2" hidden="1" customWidth="1"/>
    <col min="9" max="10" width="5.7109375" style="2" customWidth="1"/>
    <col min="11" max="11" width="5.7109375" style="2" hidden="1" customWidth="1"/>
    <col min="12" max="14" width="3.7109375" style="2" customWidth="1"/>
    <col min="15" max="15" width="5.28125" style="2" customWidth="1"/>
    <col min="16" max="17" width="4.7109375" style="2" customWidth="1"/>
    <col min="18" max="18" width="3.7109375" style="2" customWidth="1"/>
    <col min="19" max="19" width="4.57421875" style="2" customWidth="1"/>
    <col min="20" max="20" width="3.7109375" style="2" customWidth="1"/>
    <col min="21" max="21" width="4.421875" style="2" customWidth="1"/>
    <col min="22" max="22" width="3.7109375" style="2" customWidth="1"/>
    <col min="23" max="23" width="4.421875" style="2" customWidth="1"/>
    <col min="24" max="24" width="12.00390625" style="2" hidden="1" customWidth="1"/>
    <col min="25" max="25" width="4.7109375" style="2" customWidth="1"/>
    <col min="26" max="26" width="11.7109375" style="2" customWidth="1"/>
    <col min="27" max="28" width="4.7109375" style="2" customWidth="1"/>
    <col min="29" max="39" width="4.7109375" style="0" customWidth="1"/>
  </cols>
  <sheetData>
    <row r="1" spans="1:28" ht="16.5" customHeight="1">
      <c r="A1" s="192" t="s">
        <v>7</v>
      </c>
      <c r="B1" s="193"/>
      <c r="C1" s="193"/>
      <c r="D1" s="193"/>
      <c r="E1" s="194"/>
      <c r="F1" s="219" t="s">
        <v>81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B1"/>
    </row>
    <row r="2" spans="1:28" ht="16.5" customHeight="1">
      <c r="A2" s="192" t="s">
        <v>8</v>
      </c>
      <c r="B2" s="193"/>
      <c r="C2" s="193"/>
      <c r="D2" s="193"/>
      <c r="E2" s="194"/>
      <c r="F2" s="240">
        <v>42161</v>
      </c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B2"/>
    </row>
    <row r="3" spans="1:28" ht="16.5" customHeight="1">
      <c r="A3" s="192" t="s">
        <v>9</v>
      </c>
      <c r="B3" s="193"/>
      <c r="C3" s="193"/>
      <c r="D3" s="193"/>
      <c r="E3" s="194"/>
      <c r="F3" s="219" t="s">
        <v>29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B3"/>
    </row>
    <row r="4" spans="1:28" ht="16.5" customHeight="1">
      <c r="A4" s="192" t="s">
        <v>13</v>
      </c>
      <c r="B4" s="193"/>
      <c r="C4" s="193"/>
      <c r="D4" s="193"/>
      <c r="E4" s="194"/>
      <c r="F4" s="219" t="s">
        <v>16</v>
      </c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B4"/>
    </row>
    <row r="5" spans="1:28" ht="16.5" customHeight="1">
      <c r="A5" s="192" t="s">
        <v>11</v>
      </c>
      <c r="B5" s="193"/>
      <c r="C5" s="193"/>
      <c r="D5" s="193"/>
      <c r="E5" s="194"/>
      <c r="F5" s="219">
        <v>6</v>
      </c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B5"/>
    </row>
    <row r="6" spans="1:28" ht="16.5" customHeight="1">
      <c r="A6" s="192" t="s">
        <v>12</v>
      </c>
      <c r="B6" s="193"/>
      <c r="C6" s="193"/>
      <c r="D6" s="193"/>
      <c r="E6" s="194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B6"/>
    </row>
    <row r="7" spans="1:28" ht="16.5" customHeight="1">
      <c r="A7" s="192" t="s">
        <v>10</v>
      </c>
      <c r="B7" s="193"/>
      <c r="C7" s="193"/>
      <c r="D7" s="193"/>
      <c r="E7" s="194"/>
      <c r="F7" s="219" t="s">
        <v>14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B7"/>
    </row>
    <row r="8" ht="15.75" thickBot="1"/>
    <row r="9" spans="1:26" ht="16.5" thickBot="1">
      <c r="A9" s="235" t="s">
        <v>68</v>
      </c>
      <c r="B9" s="236"/>
      <c r="C9" s="204">
        <f>A11</f>
        <v>305</v>
      </c>
      <c r="D9" s="205"/>
      <c r="E9" s="47"/>
      <c r="F9" s="205">
        <f>A12</f>
        <v>302</v>
      </c>
      <c r="G9" s="205"/>
      <c r="H9" s="47"/>
      <c r="I9" s="205">
        <f>A13</f>
        <v>306</v>
      </c>
      <c r="J9" s="205"/>
      <c r="L9" s="248" t="s">
        <v>0</v>
      </c>
      <c r="M9" s="233"/>
      <c r="N9" s="224" t="s">
        <v>3</v>
      </c>
      <c r="O9" s="225"/>
      <c r="P9" s="248" t="s">
        <v>1</v>
      </c>
      <c r="Q9" s="225"/>
      <c r="R9" s="248" t="s">
        <v>4</v>
      </c>
      <c r="S9" s="233"/>
      <c r="T9" s="224" t="s">
        <v>5</v>
      </c>
      <c r="U9" s="233"/>
      <c r="V9" s="224" t="s">
        <v>6</v>
      </c>
      <c r="W9" s="225"/>
      <c r="X9" s="46"/>
      <c r="Y9" s="228" t="s">
        <v>2</v>
      </c>
      <c r="Z9" s="229"/>
    </row>
    <row r="10" spans="1:28" s="1" customFormat="1" ht="57.75" customHeight="1" thickBot="1">
      <c r="A10" s="237"/>
      <c r="B10" s="293"/>
      <c r="C10" s="217" t="str">
        <f>B11</f>
        <v>Ľuba Škvarnová</v>
      </c>
      <c r="D10" s="218"/>
      <c r="E10" s="42" t="s">
        <v>21</v>
      </c>
      <c r="F10" s="218" t="str">
        <f>B12</f>
        <v>Boris Klohna</v>
      </c>
      <c r="G10" s="218"/>
      <c r="H10" s="42" t="s">
        <v>21</v>
      </c>
      <c r="I10" s="218" t="str">
        <f>B13</f>
        <v>František Fábry</v>
      </c>
      <c r="J10" s="239"/>
      <c r="K10" s="35" t="s">
        <v>21</v>
      </c>
      <c r="L10" s="249"/>
      <c r="M10" s="234"/>
      <c r="N10" s="226"/>
      <c r="O10" s="227"/>
      <c r="P10" s="249"/>
      <c r="Q10" s="227"/>
      <c r="R10" s="249"/>
      <c r="S10" s="234"/>
      <c r="T10" s="226"/>
      <c r="U10" s="234"/>
      <c r="V10" s="226"/>
      <c r="W10" s="227"/>
      <c r="X10" s="44"/>
      <c r="Y10" s="230"/>
      <c r="Z10" s="231"/>
      <c r="AA10" s="3"/>
      <c r="AB10" s="3"/>
    </row>
    <row r="11" spans="1:26" ht="30" customHeight="1">
      <c r="A11" s="48">
        <f>IF('zoznam hracov'!A$19="nevylosované","301",VLOOKUP("A1",'zoznam hracov'!$A$20:$C$25,2,0))</f>
        <v>305</v>
      </c>
      <c r="B11" s="61" t="str">
        <f>IF('zoznam hracov'!A$19="nevylosované","Hráč 1",VLOOKUP("A1",'zoznam hracov'!$A$20:$C$25,3,0))</f>
        <v>Ľuba Škvarnová</v>
      </c>
      <c r="C11" s="244"/>
      <c r="D11" s="245"/>
      <c r="E11" s="18"/>
      <c r="F11" s="28">
        <v>2</v>
      </c>
      <c r="G11" s="28">
        <v>5</v>
      </c>
      <c r="H11" s="28"/>
      <c r="I11" s="28">
        <v>2</v>
      </c>
      <c r="J11" s="29">
        <v>4</v>
      </c>
      <c r="K11" s="36"/>
      <c r="L11" s="208">
        <f>IF(SUM(C11:K11)=0,"",IF($C11&gt;$D11,1,0)+IF($F11&gt;$G11,1,0)+IF($I11&gt;$J11,1,0)+$E11+$H11+$K11)</f>
        <v>0</v>
      </c>
      <c r="M11" s="208"/>
      <c r="N11" s="211">
        <f>IF(SUM(C11:K11)=0,"",IF(C11="",0,1)+IF(F11="",0,1)+IF(I11="",0,1))</f>
        <v>2</v>
      </c>
      <c r="O11" s="212"/>
      <c r="P11" s="109">
        <f aca="true" t="shared" si="0" ref="P11:Q13">IF(AND(C11="",F11="",I11=""),"",N(C11)+N(F11)+N(I11))</f>
        <v>4</v>
      </c>
      <c r="Q11" s="14">
        <f t="shared" si="0"/>
        <v>9</v>
      </c>
      <c r="R11" s="215">
        <f>IF(N11="","",ROUND(L11/N11,2))</f>
        <v>0</v>
      </c>
      <c r="S11" s="196"/>
      <c r="T11" s="196">
        <f>IF(N11="","",ROUND((P11-Q11)/N11,2))</f>
        <v>-2.5</v>
      </c>
      <c r="U11" s="196"/>
      <c r="V11" s="196">
        <f>IF(N11="","",ROUND(P11/N11,2))</f>
        <v>2</v>
      </c>
      <c r="W11" s="197"/>
      <c r="X11" s="6">
        <f>IF(SUM(C11:K11)=0,0,R11*1000000+T11*1000+V11)</f>
        <v>-2498</v>
      </c>
      <c r="Y11" s="222">
        <f>IF(X11=0,"",IF(LARGE($X$11:$X$13,1)=X11,1,IF(LARGE($X$11:$X$13,2)=X11,2,IF(LARGE($X$11:$X$13,3)=X11,3,-1))))</f>
        <v>3</v>
      </c>
      <c r="Z11" s="223"/>
    </row>
    <row r="12" spans="1:26" ht="30" customHeight="1">
      <c r="A12" s="49">
        <f>IF('zoznam hracov'!A$19="nevylosované","302",VLOOKUP("A2",'zoznam hracov'!$A$20:$C$25,2,0))</f>
        <v>302</v>
      </c>
      <c r="B12" s="64" t="str">
        <f>IF('zoznam hracov'!A$19="nevylosované","Hráč 2",VLOOKUP("A2",'zoznam hracov'!$A$20:$C$25,3,0))</f>
        <v>Boris Klohna</v>
      </c>
      <c r="C12" s="19">
        <f>IF(G11="","",G11)</f>
        <v>5</v>
      </c>
      <c r="D12" s="20">
        <f>IF(F11="","",F11)</f>
        <v>2</v>
      </c>
      <c r="E12" s="20"/>
      <c r="F12" s="242"/>
      <c r="G12" s="243"/>
      <c r="H12" s="21"/>
      <c r="I12" s="30">
        <v>7</v>
      </c>
      <c r="J12" s="31">
        <v>4</v>
      </c>
      <c r="K12" s="37"/>
      <c r="L12" s="209">
        <f>IF(SUM(C12:K12)=0,"",IF($C12&gt;$D12,1,0)+IF($F12&gt;$G12,1,0)+IF($I12&gt;$J12,1,0)+$E12+$H12+$K12)</f>
        <v>2</v>
      </c>
      <c r="M12" s="209"/>
      <c r="N12" s="213">
        <f>IF(SUM(C12:K12)=0,"",IF(C12="",0,1)+IF(F12="",0,1)+IF(I12="",0,1))</f>
        <v>2</v>
      </c>
      <c r="O12" s="214"/>
      <c r="P12" s="110">
        <f t="shared" si="0"/>
        <v>12</v>
      </c>
      <c r="Q12" s="15">
        <f t="shared" si="0"/>
        <v>6</v>
      </c>
      <c r="R12" s="216">
        <f>IF(N12="","",ROUND(L12/N12,2))</f>
        <v>1</v>
      </c>
      <c r="S12" s="198"/>
      <c r="T12" s="198">
        <f>IF(N12="","",ROUND((P12-Q12)/N12,2))</f>
        <v>3</v>
      </c>
      <c r="U12" s="198"/>
      <c r="V12" s="198">
        <f>IF(N12="","",ROUND(P12/N12,2))</f>
        <v>6</v>
      </c>
      <c r="W12" s="199"/>
      <c r="X12" s="4">
        <f>IF(SUM(C12:K12)=0,0,R12*1000000+T12*1000+V12)</f>
        <v>1003006</v>
      </c>
      <c r="Y12" s="329">
        <f>IF(X12=0,"",IF(LARGE($X$11:$X$13,1)=X12,1,IF(LARGE($X$11:$X$13,2)=X12,2,IF(LARGE($X$11:$X$13,3)=X12,3,-1))))</f>
        <v>1</v>
      </c>
      <c r="Z12" s="330"/>
    </row>
    <row r="13" spans="1:26" ht="30" customHeight="1" thickBot="1">
      <c r="A13" s="50">
        <f>IF('zoznam hracov'!A$19="nevylosované","303",VLOOKUP("A3",'zoznam hracov'!$A$20:$C$25,2,0))</f>
        <v>306</v>
      </c>
      <c r="B13" s="65" t="str">
        <f>IF('zoznam hracov'!A$19="nevylosované","Hráč 3",VLOOKUP("A3",'zoznam hracov'!$A$20:$C$25,3,0))</f>
        <v>František Fábry</v>
      </c>
      <c r="C13" s="22">
        <f>IF(J11="","",J11)</f>
        <v>4</v>
      </c>
      <c r="D13" s="23">
        <f>IF(I11="","",I11)</f>
        <v>2</v>
      </c>
      <c r="E13" s="23"/>
      <c r="F13" s="23">
        <f>IF(J12="","",J12)</f>
        <v>4</v>
      </c>
      <c r="G13" s="23">
        <f>IF(I12="","",I12)</f>
        <v>7</v>
      </c>
      <c r="H13" s="23"/>
      <c r="I13" s="246"/>
      <c r="J13" s="247"/>
      <c r="K13" s="38"/>
      <c r="L13" s="195">
        <f>IF(SUM(C13:K13)=0,"",IF($C13&gt;$D13,1,0)+IF($F13&gt;$G13,1,0)+IF($I13&gt;$J13,1,0)+$E13+$H13+$K13)</f>
        <v>1</v>
      </c>
      <c r="M13" s="195"/>
      <c r="N13" s="201">
        <f>IF(SUM(C13:K13)=0,"",IF(C13="",0,1)+IF(F13="",0,1)+IF(I13="",0,1))</f>
        <v>2</v>
      </c>
      <c r="O13" s="202"/>
      <c r="P13" s="111">
        <f t="shared" si="0"/>
        <v>8</v>
      </c>
      <c r="Q13" s="16">
        <f t="shared" si="0"/>
        <v>9</v>
      </c>
      <c r="R13" s="203">
        <f>IF(N13="","",ROUND(L13/N13,2))</f>
        <v>0.5</v>
      </c>
      <c r="S13" s="200"/>
      <c r="T13" s="200">
        <f>IF(N13="","",ROUND((P13-Q13)/N13,2))</f>
        <v>-0.5</v>
      </c>
      <c r="U13" s="200"/>
      <c r="V13" s="200">
        <f>IF(N13="","",ROUND(P13/N13,2))</f>
        <v>4</v>
      </c>
      <c r="W13" s="210"/>
      <c r="X13" s="5">
        <f>IF(SUM(C13:K13)=0,0,R13*1000000+T13*1000+V13)</f>
        <v>499504</v>
      </c>
      <c r="Y13" s="334">
        <f>IF(X13=0,"",IF(LARGE($X$11:$X$13,1)=X13,1,IF(LARGE($X$11:$X$13,2)=X13,2,IF(LARGE($X$11:$X$13,3)=X13,3,-1))))</f>
        <v>2</v>
      </c>
      <c r="Z13" s="335"/>
    </row>
    <row r="14" spans="25:26" ht="15" customHeight="1" thickBot="1">
      <c r="Y14" s="39"/>
      <c r="Z14" s="39"/>
    </row>
    <row r="15" spans="1:26" ht="15" customHeight="1" thickBot="1">
      <c r="A15" s="235" t="s">
        <v>69</v>
      </c>
      <c r="B15" s="236"/>
      <c r="C15" s="204">
        <f>A17</f>
        <v>304</v>
      </c>
      <c r="D15" s="205"/>
      <c r="E15" s="47"/>
      <c r="F15" s="205">
        <f>A18</f>
        <v>303</v>
      </c>
      <c r="G15" s="205"/>
      <c r="H15" s="47"/>
      <c r="I15" s="205">
        <f>A19</f>
        <v>301</v>
      </c>
      <c r="J15" s="205"/>
      <c r="L15" s="248" t="s">
        <v>0</v>
      </c>
      <c r="M15" s="233"/>
      <c r="N15" s="224" t="s">
        <v>3</v>
      </c>
      <c r="O15" s="225"/>
      <c r="P15" s="248" t="s">
        <v>1</v>
      </c>
      <c r="Q15" s="225"/>
      <c r="R15" s="248" t="s">
        <v>4</v>
      </c>
      <c r="S15" s="233"/>
      <c r="T15" s="224" t="s">
        <v>5</v>
      </c>
      <c r="U15" s="233"/>
      <c r="V15" s="224" t="s">
        <v>6</v>
      </c>
      <c r="W15" s="225"/>
      <c r="X15" s="46"/>
      <c r="Y15" s="228" t="s">
        <v>2</v>
      </c>
      <c r="Z15" s="229"/>
    </row>
    <row r="16" spans="1:29" s="1" customFormat="1" ht="57.75" customHeight="1" thickBot="1">
      <c r="A16" s="292"/>
      <c r="B16" s="293"/>
      <c r="C16" s="217" t="str">
        <f>B17</f>
        <v>Adam Burianek</v>
      </c>
      <c r="D16" s="218"/>
      <c r="E16" s="42" t="s">
        <v>21</v>
      </c>
      <c r="F16" s="218" t="str">
        <f>B18</f>
        <v>Michal Tižo </v>
      </c>
      <c r="G16" s="218"/>
      <c r="H16" s="42" t="s">
        <v>21</v>
      </c>
      <c r="I16" s="218" t="str">
        <f>B19</f>
        <v>Marián Košťál</v>
      </c>
      <c r="J16" s="239"/>
      <c r="K16" s="35" t="s">
        <v>21</v>
      </c>
      <c r="L16" s="249"/>
      <c r="M16" s="234"/>
      <c r="N16" s="226"/>
      <c r="O16" s="227"/>
      <c r="P16" s="249"/>
      <c r="Q16" s="227"/>
      <c r="R16" s="249"/>
      <c r="S16" s="234"/>
      <c r="T16" s="226"/>
      <c r="U16" s="234"/>
      <c r="V16" s="226"/>
      <c r="W16" s="227"/>
      <c r="X16" s="44"/>
      <c r="Y16" s="230"/>
      <c r="Z16" s="231"/>
      <c r="AA16" s="3"/>
      <c r="AB16" s="3"/>
      <c r="AC16"/>
    </row>
    <row r="17" spans="1:26" ht="30" customHeight="1">
      <c r="A17" s="48">
        <f>IF('zoznam hracov'!A$19="nevylosované","304",VLOOKUP("B1",'zoznam hracov'!$A$20:$C$25,2,0))</f>
        <v>304</v>
      </c>
      <c r="B17" s="61" t="str">
        <f>IF('zoznam hracov'!A$19="nevylosované","Hráč 4",VLOOKUP("B1",'zoznam hracov'!A20:C25,3,0))</f>
        <v>Adam Burianek</v>
      </c>
      <c r="C17" s="244"/>
      <c r="D17" s="245"/>
      <c r="E17" s="18"/>
      <c r="F17" s="28">
        <v>0</v>
      </c>
      <c r="G17" s="28">
        <v>5</v>
      </c>
      <c r="H17" s="28"/>
      <c r="I17" s="28">
        <v>0</v>
      </c>
      <c r="J17" s="29">
        <v>4</v>
      </c>
      <c r="K17" s="36"/>
      <c r="L17" s="208">
        <f>IF(SUM(C17:K17)=0,"",IF($C17&gt;$D17,1,0)+IF($F17&gt;$G17,1,0)+IF($I17&gt;$J17,1,0)+$E17+$H17+$K17)</f>
        <v>0</v>
      </c>
      <c r="M17" s="208"/>
      <c r="N17" s="211">
        <f>IF(SUM(C17:K17)=0,"",IF(C17="",0,1)+IF(F17="",0,1)+IF(I17="",0,1))</f>
        <v>2</v>
      </c>
      <c r="O17" s="212"/>
      <c r="P17" s="109">
        <f aca="true" t="shared" si="1" ref="P17:Q19">IF(AND(C17="",F17="",I17=""),"",N(C17)+N(F17)+N(I17))</f>
        <v>0</v>
      </c>
      <c r="Q17" s="14">
        <f t="shared" si="1"/>
        <v>9</v>
      </c>
      <c r="R17" s="215">
        <f>IF(N17="","",ROUND(L17/N17,2))</f>
        <v>0</v>
      </c>
      <c r="S17" s="196"/>
      <c r="T17" s="196">
        <f>IF(N17="","",ROUND((P17-Q17)/N17,2))</f>
        <v>-4.5</v>
      </c>
      <c r="U17" s="196"/>
      <c r="V17" s="196">
        <f>IF(N17="","",ROUND(P17/N17,2))</f>
        <v>0</v>
      </c>
      <c r="W17" s="197"/>
      <c r="X17" s="6">
        <f>IF(SUM(C17:K17)=0,0,R17*1000000+T17*1000+V17)</f>
        <v>-4500</v>
      </c>
      <c r="Y17" s="222">
        <f>IF(X17=0,"",IF(LARGE($X$17:$X$19,1)=X17,1,IF(LARGE($X$17:$X$19,2)=X17,2,IF(LARGE($X$17:$X$19,3)=X17,3,-1))))</f>
        <v>3</v>
      </c>
      <c r="Z17" s="223"/>
    </row>
    <row r="18" spans="1:26" ht="30" customHeight="1">
      <c r="A18" s="49">
        <f>IF('zoznam hracov'!A$19="nevylosované","305",VLOOKUP("B2",'zoznam hracov'!$A$20:$C$25,2,0))</f>
        <v>303</v>
      </c>
      <c r="B18" s="64" t="str">
        <f>IF('zoznam hracov'!A$19="nevylosované","Hráč 5",VLOOKUP("B2",'zoznam hracov'!$A$20:$C$25,3,0))</f>
        <v>Michal Tižo </v>
      </c>
      <c r="C18" s="19">
        <f>IF(G17="","",G17)</f>
        <v>5</v>
      </c>
      <c r="D18" s="20">
        <f>IF(F17="","",F17)</f>
        <v>0</v>
      </c>
      <c r="E18" s="20"/>
      <c r="F18" s="242"/>
      <c r="G18" s="243"/>
      <c r="H18" s="21"/>
      <c r="I18" s="30">
        <v>6</v>
      </c>
      <c r="J18" s="31">
        <v>3</v>
      </c>
      <c r="K18" s="37"/>
      <c r="L18" s="209">
        <f>IF(SUM(C18:K18)=0,"",IF($C18&gt;$D18,1,0)+IF($F18&gt;$G18,1,0)+IF($I18&gt;$J18,1,0)+$E18+$H18+$K18)</f>
        <v>2</v>
      </c>
      <c r="M18" s="209"/>
      <c r="N18" s="213">
        <f>IF(SUM(C18:K18)=0,"",IF(C18="",0,1)+IF(F18="",0,1)+IF(I18="",0,1))</f>
        <v>2</v>
      </c>
      <c r="O18" s="214"/>
      <c r="P18" s="110">
        <f t="shared" si="1"/>
        <v>11</v>
      </c>
      <c r="Q18" s="15">
        <f t="shared" si="1"/>
        <v>3</v>
      </c>
      <c r="R18" s="216">
        <f>IF(N18="","",ROUND(L18/N18,2))</f>
        <v>1</v>
      </c>
      <c r="S18" s="198"/>
      <c r="T18" s="198">
        <f>IF(N18="","",ROUND((P18-Q18)/N18,2))</f>
        <v>4</v>
      </c>
      <c r="U18" s="198"/>
      <c r="V18" s="198">
        <f>IF(N18="","",ROUND(P18/N18,2))</f>
        <v>5.5</v>
      </c>
      <c r="W18" s="199"/>
      <c r="X18" s="4">
        <f>IF(SUM(C18:K18)=0,0,R18*1000000+T18*1000+V18)</f>
        <v>1004005.5</v>
      </c>
      <c r="Y18" s="329">
        <f>IF(X18=0,"",IF(LARGE($X$17:$X$19,1)=X18,1,IF(LARGE($X$17:$X$19,2)=X18,2,IF(LARGE($X$17:$X$19,3)=X18,3,-1))))</f>
        <v>1</v>
      </c>
      <c r="Z18" s="330"/>
    </row>
    <row r="19" spans="1:28" ht="30" customHeight="1" thickBot="1">
      <c r="A19" s="50">
        <f>IF('zoznam hracov'!A$19="nevylosované","306",VLOOKUP("B3",'zoznam hracov'!$A$20:$C$25,2,0))</f>
        <v>301</v>
      </c>
      <c r="B19" s="65" t="str">
        <f>IF('zoznam hracov'!A$19="nevylosované","Hráč 6",VLOOKUP("B3",'zoznam hracov'!$A$20:$C$25,3,0))</f>
        <v>Marián Košťál</v>
      </c>
      <c r="C19" s="22">
        <f>IF(J17="","",J17)</f>
        <v>4</v>
      </c>
      <c r="D19" s="23">
        <f>IF(I17="","",I17)</f>
        <v>0</v>
      </c>
      <c r="E19" s="23"/>
      <c r="F19" s="23">
        <f>IF(J18="","",J18)</f>
        <v>3</v>
      </c>
      <c r="G19" s="23">
        <f>IF(I18="","",I18)</f>
        <v>6</v>
      </c>
      <c r="H19" s="23"/>
      <c r="I19" s="246"/>
      <c r="J19" s="247"/>
      <c r="K19" s="38"/>
      <c r="L19" s="195">
        <f>IF(SUM(C19:K19)=0,"",IF($C19&gt;$D19,1,0)+IF($F19&gt;$G19,1,0)+IF($I19&gt;$J19,1,0)+$E19+$H19+$K19)</f>
        <v>1</v>
      </c>
      <c r="M19" s="195"/>
      <c r="N19" s="201">
        <f>IF(SUM(C19:K19)=0,"",IF(C19="",0,1)+IF(F19="",0,1)+IF(I19="",0,1))</f>
        <v>2</v>
      </c>
      <c r="O19" s="202"/>
      <c r="P19" s="111">
        <f t="shared" si="1"/>
        <v>7</v>
      </c>
      <c r="Q19" s="16">
        <f t="shared" si="1"/>
        <v>6</v>
      </c>
      <c r="R19" s="203">
        <f>IF(N19="","",ROUND(L19/N19,2))</f>
        <v>0.5</v>
      </c>
      <c r="S19" s="200"/>
      <c r="T19" s="200">
        <f>IF(N19="","",ROUND((P19-Q19)/N19,2))</f>
        <v>0.5</v>
      </c>
      <c r="U19" s="200"/>
      <c r="V19" s="200">
        <f>IF(N19="","",ROUND(P19/N19,2))</f>
        <v>3.5</v>
      </c>
      <c r="W19" s="210"/>
      <c r="X19" s="5">
        <f>IF(SUM(C19:K19)=0,0,R19*1000000+T19*1000+V19)</f>
        <v>500503.5</v>
      </c>
      <c r="Y19" s="334">
        <f>IF(X19=0,"",IF(LARGE($X$17:$X$19,1)=X19,1,IF(LARGE($X$17:$X$19,2)=X19,2,IF(LARGE($X$17:$X$19,3)=X19,3,-1))))</f>
        <v>2</v>
      </c>
      <c r="Z19" s="335"/>
      <c r="AA19"/>
      <c r="AB19"/>
    </row>
    <row r="20" spans="1:26" ht="30" customHeight="1">
      <c r="A20" s="241" t="s">
        <v>106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</row>
  </sheetData>
  <sheetProtection/>
  <mergeCells count="85">
    <mergeCell ref="A20:Z20"/>
    <mergeCell ref="C11:D11"/>
    <mergeCell ref="F12:G12"/>
    <mergeCell ref="I13:J13"/>
    <mergeCell ref="C17:D17"/>
    <mergeCell ref="F18:G18"/>
    <mergeCell ref="I19:J19"/>
    <mergeCell ref="N15:O16"/>
    <mergeCell ref="P15:Q16"/>
    <mergeCell ref="R15:S16"/>
    <mergeCell ref="T15:U16"/>
    <mergeCell ref="V15:W16"/>
    <mergeCell ref="N9:O10"/>
    <mergeCell ref="P9:Q10"/>
    <mergeCell ref="R9:S10"/>
    <mergeCell ref="T9:U10"/>
    <mergeCell ref="V9:W10"/>
    <mergeCell ref="T11:U11"/>
    <mergeCell ref="V11:W11"/>
    <mergeCell ref="Y9:Z10"/>
    <mergeCell ref="A1:E1"/>
    <mergeCell ref="A2:E2"/>
    <mergeCell ref="A3:E3"/>
    <mergeCell ref="F1:Z1"/>
    <mergeCell ref="F2:Z2"/>
    <mergeCell ref="F3:Z3"/>
    <mergeCell ref="A4:E4"/>
    <mergeCell ref="A5:E5"/>
    <mergeCell ref="A6:E6"/>
    <mergeCell ref="F4:Z4"/>
    <mergeCell ref="F5:Z5"/>
    <mergeCell ref="F6:Z6"/>
    <mergeCell ref="A7:E7"/>
    <mergeCell ref="C10:D10"/>
    <mergeCell ref="F10:G10"/>
    <mergeCell ref="I10:J10"/>
    <mergeCell ref="L9:M10"/>
    <mergeCell ref="A9:B10"/>
    <mergeCell ref="F7:Z7"/>
    <mergeCell ref="C9:D9"/>
    <mergeCell ref="F9:G9"/>
    <mergeCell ref="I9:J9"/>
    <mergeCell ref="L11:M11"/>
    <mergeCell ref="N11:O11"/>
    <mergeCell ref="R11:S11"/>
    <mergeCell ref="Y11:Z11"/>
    <mergeCell ref="L12:M12"/>
    <mergeCell ref="N12:O12"/>
    <mergeCell ref="R12:S12"/>
    <mergeCell ref="T12:U12"/>
    <mergeCell ref="V12:W12"/>
    <mergeCell ref="Y12:Z12"/>
    <mergeCell ref="L13:M13"/>
    <mergeCell ref="N13:O13"/>
    <mergeCell ref="R13:S13"/>
    <mergeCell ref="T13:U13"/>
    <mergeCell ref="V13:W13"/>
    <mergeCell ref="Y13:Z13"/>
    <mergeCell ref="C16:D16"/>
    <mergeCell ref="F16:G16"/>
    <mergeCell ref="I16:J16"/>
    <mergeCell ref="A15:B16"/>
    <mergeCell ref="L17:M17"/>
    <mergeCell ref="N17:O17"/>
    <mergeCell ref="C15:D15"/>
    <mergeCell ref="F15:G15"/>
    <mergeCell ref="I15:J15"/>
    <mergeCell ref="L15:M16"/>
    <mergeCell ref="R17:S17"/>
    <mergeCell ref="T17:U17"/>
    <mergeCell ref="V17:W17"/>
    <mergeCell ref="N18:O18"/>
    <mergeCell ref="R18:S18"/>
    <mergeCell ref="T18:U18"/>
    <mergeCell ref="V18:W18"/>
    <mergeCell ref="Y17:Z17"/>
    <mergeCell ref="Y15:Z16"/>
    <mergeCell ref="Y18:Z18"/>
    <mergeCell ref="L19:M19"/>
    <mergeCell ref="N19:O19"/>
    <mergeCell ref="R19:S19"/>
    <mergeCell ref="T19:U19"/>
    <mergeCell ref="V19:W19"/>
    <mergeCell ref="Y19:Z19"/>
    <mergeCell ref="L18:M18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CW88"/>
  <sheetViews>
    <sheetView zoomScale="170" zoomScaleNormal="170" zoomScalePageLayoutView="0" workbookViewId="0" topLeftCell="Y1">
      <selection activeCell="BD23" sqref="BD23"/>
    </sheetView>
  </sheetViews>
  <sheetFormatPr defaultColWidth="9.140625" defaultRowHeight="3.75" customHeight="1"/>
  <cols>
    <col min="1" max="13" width="1.7109375" style="66" customWidth="1"/>
    <col min="14" max="14" width="2.57421875" style="66" customWidth="1"/>
    <col min="15" max="39" width="1.7109375" style="66" customWidth="1"/>
    <col min="40" max="40" width="9.7109375" style="66" customWidth="1"/>
    <col min="41" max="159" width="1.7109375" style="66" customWidth="1"/>
    <col min="160" max="16384" width="9.140625" style="66" customWidth="1"/>
  </cols>
  <sheetData>
    <row r="1" spans="8:86" ht="3.75" customHeight="1"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5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</row>
    <row r="2" spans="8:86" ht="3.75" customHeight="1"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5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</row>
    <row r="3" spans="2:86" ht="3.75" customHeight="1">
      <c r="B3" s="256" t="s">
        <v>92</v>
      </c>
      <c r="C3" s="256"/>
      <c r="D3" s="256"/>
      <c r="E3" s="256"/>
      <c r="F3" s="256"/>
      <c r="G3" s="256"/>
      <c r="H3" s="256"/>
      <c r="I3" s="256"/>
      <c r="J3" s="283" t="s">
        <v>81</v>
      </c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5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</row>
    <row r="4" spans="2:86" ht="3.75" customHeight="1">
      <c r="B4" s="256"/>
      <c r="C4" s="256"/>
      <c r="D4" s="256"/>
      <c r="E4" s="256"/>
      <c r="F4" s="256"/>
      <c r="G4" s="256"/>
      <c r="H4" s="256"/>
      <c r="I4" s="256"/>
      <c r="J4" s="286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8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</row>
    <row r="5" spans="2:86" ht="3.75" customHeight="1">
      <c r="B5" s="256"/>
      <c r="C5" s="256"/>
      <c r="D5" s="256"/>
      <c r="E5" s="256"/>
      <c r="F5" s="256"/>
      <c r="G5" s="256"/>
      <c r="H5" s="256"/>
      <c r="I5" s="256"/>
      <c r="J5" s="286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8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</row>
    <row r="6" spans="2:86" ht="3.75" customHeight="1">
      <c r="B6" s="256"/>
      <c r="C6" s="256"/>
      <c r="D6" s="256"/>
      <c r="E6" s="256"/>
      <c r="F6" s="256"/>
      <c r="G6" s="256"/>
      <c r="H6" s="256"/>
      <c r="I6" s="256"/>
      <c r="J6" s="289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</row>
    <row r="7" spans="8:86" ht="3.75" customHeight="1">
      <c r="H7" s="101"/>
      <c r="I7" s="101"/>
      <c r="J7" s="101"/>
      <c r="K7" s="101"/>
      <c r="L7" s="101"/>
      <c r="M7" s="101"/>
      <c r="N7" s="101"/>
      <c r="O7" s="101"/>
      <c r="P7" s="101"/>
      <c r="Q7" s="74"/>
      <c r="R7" s="74"/>
      <c r="S7" s="74"/>
      <c r="T7" s="74"/>
      <c r="U7" s="74"/>
      <c r="V7" s="74"/>
      <c r="W7" s="74"/>
      <c r="X7" s="7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</row>
    <row r="8" spans="26:101" ht="3.75" customHeight="1"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BM8" s="101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74"/>
      <c r="CH8" s="74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67"/>
      <c r="CT8" s="67"/>
      <c r="CU8" s="67"/>
      <c r="CV8" s="67"/>
      <c r="CW8" s="67"/>
    </row>
    <row r="9" spans="7:101" ht="3.75" customHeight="1"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276" t="s">
        <v>91</v>
      </c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69"/>
      <c r="BA9" s="69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74"/>
      <c r="CH9" s="74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67"/>
      <c r="CT9" s="67"/>
      <c r="CU9" s="67"/>
      <c r="CV9" s="67"/>
      <c r="CW9" s="67"/>
    </row>
    <row r="10" spans="7:101" ht="3.75" customHeight="1"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69"/>
      <c r="BA10" s="69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74"/>
      <c r="CH10" s="74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67"/>
      <c r="CT10" s="67"/>
      <c r="CU10" s="67"/>
      <c r="CV10" s="67"/>
      <c r="CW10" s="67"/>
    </row>
    <row r="11" spans="7:101" ht="3.75" customHeight="1"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69"/>
      <c r="BA11" s="69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74"/>
      <c r="CH11" s="74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67"/>
      <c r="CT11" s="67"/>
      <c r="CU11" s="67"/>
      <c r="CV11" s="67"/>
      <c r="CW11" s="67"/>
    </row>
    <row r="12" spans="7:101" ht="3.75" customHeight="1"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69"/>
      <c r="BA12" s="69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67"/>
      <c r="CT12" s="67"/>
      <c r="CU12" s="67"/>
      <c r="CV12" s="67"/>
      <c r="CW12" s="67"/>
    </row>
    <row r="13" spans="7:101" ht="3.75" customHeight="1"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69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69"/>
      <c r="BA13" s="69"/>
      <c r="BB13" s="83"/>
      <c r="BC13" s="82"/>
      <c r="BD13" s="68"/>
      <c r="BE13" s="68"/>
      <c r="BF13" s="68"/>
      <c r="BG13" s="68"/>
      <c r="BH13" s="68"/>
      <c r="BI13" s="68"/>
      <c r="BJ13" s="68"/>
      <c r="BK13" s="68"/>
      <c r="BL13" s="69"/>
      <c r="BM13" s="69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67"/>
      <c r="CT13" s="67"/>
      <c r="CU13" s="67"/>
      <c r="CV13" s="67"/>
      <c r="CW13" s="67"/>
    </row>
    <row r="14" spans="7:101" ht="3.75" customHeight="1"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69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69"/>
      <c r="BA14" s="69"/>
      <c r="BB14" s="282" t="s">
        <v>34</v>
      </c>
      <c r="BC14" s="282"/>
      <c r="BD14" s="271" t="str">
        <f>BB39</f>
        <v>Michal Tižo </v>
      </c>
      <c r="BE14" s="271"/>
      <c r="BF14" s="271"/>
      <c r="BG14" s="271"/>
      <c r="BH14" s="271"/>
      <c r="BI14" s="271"/>
      <c r="BJ14" s="271"/>
      <c r="BK14" s="271"/>
      <c r="BL14" s="271"/>
      <c r="BM14" s="271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67"/>
      <c r="CT14" s="67"/>
      <c r="CU14" s="67"/>
      <c r="CV14" s="67"/>
      <c r="CW14" s="67"/>
    </row>
    <row r="15" spans="7:101" ht="3.75" customHeight="1"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69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69"/>
      <c r="BA15" s="69"/>
      <c r="BB15" s="282"/>
      <c r="BC15" s="282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67"/>
      <c r="CT15" s="67"/>
      <c r="CU15" s="67"/>
      <c r="CV15" s="67"/>
      <c r="CW15" s="67"/>
    </row>
    <row r="16" spans="7:101" ht="3.75" customHeight="1"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69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69"/>
      <c r="BA16" s="69"/>
      <c r="BB16" s="282"/>
      <c r="BC16" s="282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67"/>
      <c r="CT16" s="67"/>
      <c r="CU16" s="67"/>
      <c r="CV16" s="67"/>
      <c r="CW16" s="67"/>
    </row>
    <row r="17" spans="7:101" ht="3.75" customHeight="1"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69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69"/>
      <c r="BA17" s="69"/>
      <c r="BB17" s="282"/>
      <c r="BC17" s="282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67"/>
      <c r="CT17" s="67"/>
      <c r="CU17" s="67"/>
      <c r="CV17" s="67"/>
      <c r="CW17" s="67"/>
    </row>
    <row r="18" spans="1:101" ht="3.75" customHeight="1">
      <c r="A18" s="80"/>
      <c r="B18" s="80"/>
      <c r="C18" s="80"/>
      <c r="D18" s="88"/>
      <c r="E18" s="88"/>
      <c r="F18" s="88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87"/>
      <c r="W18" s="87"/>
      <c r="X18" s="68"/>
      <c r="Y18" s="68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69"/>
      <c r="BA18" s="69"/>
      <c r="BB18" s="70"/>
      <c r="BC18" s="82"/>
      <c r="BD18" s="83"/>
      <c r="BE18" s="83"/>
      <c r="BF18" s="83"/>
      <c r="BG18" s="83"/>
      <c r="BH18" s="83"/>
      <c r="BI18" s="83"/>
      <c r="BJ18" s="83"/>
      <c r="BK18" s="83"/>
      <c r="BL18" s="69"/>
      <c r="BM18" s="69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67"/>
      <c r="CT18" s="67"/>
      <c r="CU18" s="67"/>
      <c r="CV18" s="67"/>
      <c r="CW18" s="67"/>
    </row>
    <row r="19" spans="1:101" ht="3.75" customHeight="1">
      <c r="A19" s="80"/>
      <c r="B19" s="80"/>
      <c r="C19" s="80"/>
      <c r="D19" s="88"/>
      <c r="E19" s="88"/>
      <c r="F19" s="88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87"/>
      <c r="W19" s="87"/>
      <c r="X19" s="68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69"/>
      <c r="BA19" s="69"/>
      <c r="BB19" s="282" t="s">
        <v>37</v>
      </c>
      <c r="BC19" s="282"/>
      <c r="BD19" s="271" t="str">
        <f>AO27</f>
        <v>Marián Košťál</v>
      </c>
      <c r="BE19" s="271"/>
      <c r="BF19" s="271"/>
      <c r="BG19" s="271"/>
      <c r="BH19" s="271"/>
      <c r="BI19" s="271"/>
      <c r="BJ19" s="271"/>
      <c r="BK19" s="271"/>
      <c r="BL19" s="271"/>
      <c r="BM19" s="271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67"/>
      <c r="CT19" s="67"/>
      <c r="CU19" s="67"/>
      <c r="CV19" s="67"/>
      <c r="CW19" s="67"/>
    </row>
    <row r="20" spans="1:101" ht="3.75" customHeight="1">
      <c r="A20" s="80"/>
      <c r="B20" s="80"/>
      <c r="C20" s="80"/>
      <c r="D20" s="88"/>
      <c r="E20" s="88"/>
      <c r="F20" s="88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87"/>
      <c r="W20" s="87"/>
      <c r="X20" s="70"/>
      <c r="Y20" s="68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4"/>
      <c r="AL20" s="82"/>
      <c r="AM20" s="82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82"/>
      <c r="BA20" s="69"/>
      <c r="BB20" s="282"/>
      <c r="BC20" s="282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67"/>
      <c r="CT20" s="67"/>
      <c r="CU20" s="67"/>
      <c r="CV20" s="67"/>
      <c r="CW20" s="67"/>
    </row>
    <row r="21" spans="1:101" ht="3.75" customHeight="1">
      <c r="A21" s="80"/>
      <c r="B21" s="80"/>
      <c r="C21" s="80"/>
      <c r="D21" s="88"/>
      <c r="E21" s="88"/>
      <c r="F21" s="88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271" t="s">
        <v>90</v>
      </c>
      <c r="W21" s="271"/>
      <c r="X21" s="271"/>
      <c r="Y21" s="271"/>
      <c r="Z21" s="271" t="str">
        <f>'BC3'!B12</f>
        <v>Boris Klohna</v>
      </c>
      <c r="AA21" s="271"/>
      <c r="AB21" s="271"/>
      <c r="AC21" s="271"/>
      <c r="AD21" s="271"/>
      <c r="AE21" s="271"/>
      <c r="AF21" s="271"/>
      <c r="AG21" s="271"/>
      <c r="AH21" s="271"/>
      <c r="AI21" s="271"/>
      <c r="AJ21" s="258">
        <v>4</v>
      </c>
      <c r="AK21" s="258"/>
      <c r="AL21" s="82"/>
      <c r="AM21" s="82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82"/>
      <c r="BA21" s="69"/>
      <c r="BB21" s="282"/>
      <c r="BC21" s="282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67"/>
      <c r="CT21" s="67"/>
      <c r="CU21" s="67"/>
      <c r="CV21" s="67"/>
      <c r="CW21" s="67"/>
    </row>
    <row r="22" spans="1:101" ht="3.75" customHeight="1">
      <c r="A22" s="97"/>
      <c r="B22" s="67"/>
      <c r="C22" s="67"/>
      <c r="D22" s="67"/>
      <c r="E22" s="67"/>
      <c r="F22" s="67"/>
      <c r="G22" s="68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68"/>
      <c r="S22" s="68"/>
      <c r="T22" s="68"/>
      <c r="U22" s="68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58"/>
      <c r="AK22" s="258"/>
      <c r="AL22" s="102"/>
      <c r="AM22" s="82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82"/>
      <c r="BA22" s="69"/>
      <c r="BB22" s="282"/>
      <c r="BC22" s="282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67"/>
      <c r="CT22" s="67"/>
      <c r="CU22" s="67"/>
      <c r="CV22" s="67"/>
      <c r="CW22" s="67"/>
    </row>
    <row r="23" spans="1:101" ht="3.75" customHeight="1">
      <c r="A23" s="97"/>
      <c r="B23" s="67"/>
      <c r="C23" s="67"/>
      <c r="D23" s="67"/>
      <c r="E23" s="67"/>
      <c r="F23" s="67"/>
      <c r="G23" s="68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68"/>
      <c r="S23" s="68"/>
      <c r="T23" s="68"/>
      <c r="U23" s="68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58"/>
      <c r="AK23" s="258"/>
      <c r="AL23" s="269"/>
      <c r="AM23" s="82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82"/>
      <c r="BA23" s="69"/>
      <c r="BB23" s="69"/>
      <c r="BC23" s="82"/>
      <c r="BD23" s="83"/>
      <c r="BE23" s="83"/>
      <c r="BF23" s="83"/>
      <c r="BG23" s="83"/>
      <c r="BH23" s="83"/>
      <c r="BI23" s="83"/>
      <c r="BJ23" s="83"/>
      <c r="BK23" s="83"/>
      <c r="BL23" s="69"/>
      <c r="BM23" s="69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67"/>
      <c r="CT23" s="67"/>
      <c r="CU23" s="67"/>
      <c r="CV23" s="67"/>
      <c r="CW23" s="67"/>
    </row>
    <row r="24" spans="1:101" ht="3.75" customHeight="1">
      <c r="A24" s="80"/>
      <c r="B24" s="80"/>
      <c r="C24" s="80"/>
      <c r="D24" s="88"/>
      <c r="E24" s="88"/>
      <c r="F24" s="88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58"/>
      <c r="AK24" s="258"/>
      <c r="AL24" s="269"/>
      <c r="AM24" s="82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82"/>
      <c r="BA24" s="69"/>
      <c r="BB24" s="282" t="s">
        <v>38</v>
      </c>
      <c r="BC24" s="282"/>
      <c r="BD24" s="271" t="str">
        <f>N73</f>
        <v>Boris Klohna</v>
      </c>
      <c r="BE24" s="271"/>
      <c r="BF24" s="271"/>
      <c r="BG24" s="271"/>
      <c r="BH24" s="271"/>
      <c r="BI24" s="271"/>
      <c r="BJ24" s="271"/>
      <c r="BK24" s="271"/>
      <c r="BL24" s="271"/>
      <c r="BM24" s="271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67"/>
      <c r="CT24" s="67"/>
      <c r="CU24" s="67"/>
      <c r="CV24" s="67"/>
      <c r="CW24" s="67"/>
    </row>
    <row r="25" spans="1:101" ht="3.75" customHeight="1">
      <c r="A25" s="80"/>
      <c r="B25" s="80"/>
      <c r="C25" s="80"/>
      <c r="D25" s="88"/>
      <c r="E25" s="88"/>
      <c r="F25" s="88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87"/>
      <c r="W25" s="87"/>
      <c r="X25" s="70"/>
      <c r="Y25" s="68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5"/>
      <c r="AK25" s="84"/>
      <c r="AL25" s="269"/>
      <c r="AM25" s="82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82"/>
      <c r="BA25" s="69"/>
      <c r="BB25" s="282"/>
      <c r="BC25" s="282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67"/>
      <c r="CT25" s="67"/>
      <c r="CU25" s="67"/>
      <c r="CV25" s="67"/>
      <c r="CW25" s="67"/>
    </row>
    <row r="26" spans="1:101" ht="3.75" customHeight="1">
      <c r="A26" s="80"/>
      <c r="B26" s="80"/>
      <c r="C26" s="80"/>
      <c r="D26" s="88"/>
      <c r="E26" s="88"/>
      <c r="F26" s="88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87"/>
      <c r="W26" s="87"/>
      <c r="X26" s="68"/>
      <c r="Y26" s="68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5"/>
      <c r="AK26" s="84"/>
      <c r="AL26" s="78"/>
      <c r="AM26" s="82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82"/>
      <c r="BA26" s="69"/>
      <c r="BB26" s="282"/>
      <c r="BC26" s="282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67"/>
      <c r="CT26" s="67"/>
      <c r="CU26" s="67"/>
      <c r="CV26" s="67"/>
      <c r="CW26" s="67"/>
    </row>
    <row r="27" spans="1:101" ht="3.75" customHeight="1">
      <c r="A27" s="80"/>
      <c r="B27" s="80"/>
      <c r="C27" s="80"/>
      <c r="D27" s="88"/>
      <c r="E27" s="88"/>
      <c r="F27" s="88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87"/>
      <c r="W27" s="87"/>
      <c r="X27" s="68"/>
      <c r="Y27" s="68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5"/>
      <c r="AK27" s="84"/>
      <c r="AL27" s="78"/>
      <c r="AM27" s="82"/>
      <c r="AN27" s="255" t="s">
        <v>94</v>
      </c>
      <c r="AO27" s="255" t="str">
        <f>Z33</f>
        <v>Marián Košťál</v>
      </c>
      <c r="AP27" s="255"/>
      <c r="AQ27" s="255"/>
      <c r="AR27" s="255"/>
      <c r="AS27" s="255"/>
      <c r="AT27" s="255"/>
      <c r="AU27" s="255"/>
      <c r="AV27" s="255"/>
      <c r="AW27" s="255"/>
      <c r="AX27" s="270">
        <v>2</v>
      </c>
      <c r="AY27" s="270"/>
      <c r="AZ27" s="82"/>
      <c r="BA27" s="69"/>
      <c r="BB27" s="282"/>
      <c r="BC27" s="282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67"/>
      <c r="CT27" s="67"/>
      <c r="CU27" s="67"/>
      <c r="CV27" s="67"/>
      <c r="CW27" s="67"/>
    </row>
    <row r="28" spans="1:101" ht="3.75" customHeight="1">
      <c r="A28" s="97"/>
      <c r="B28" s="67"/>
      <c r="C28" s="67"/>
      <c r="D28" s="67"/>
      <c r="E28" s="67"/>
      <c r="F28" s="67"/>
      <c r="G28" s="68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68"/>
      <c r="S28" s="68"/>
      <c r="T28" s="68"/>
      <c r="U28" s="68"/>
      <c r="V28" s="68"/>
      <c r="W28" s="86"/>
      <c r="X28" s="68"/>
      <c r="Y28" s="68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5"/>
      <c r="AK28" s="84"/>
      <c r="AL28" s="78"/>
      <c r="AM28" s="81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70"/>
      <c r="AY28" s="270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68"/>
      <c r="BN28" s="101"/>
      <c r="BO28" s="73"/>
      <c r="BP28" s="73"/>
      <c r="BQ28" s="73"/>
      <c r="BR28" s="73"/>
      <c r="BS28" s="73"/>
      <c r="BT28" s="73"/>
      <c r="BU28" s="73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67"/>
      <c r="CT28" s="67"/>
      <c r="CU28" s="67"/>
      <c r="CV28" s="67"/>
      <c r="CW28" s="67"/>
    </row>
    <row r="29" spans="1:101" ht="3.75" customHeight="1">
      <c r="A29" s="97"/>
      <c r="B29" s="67"/>
      <c r="C29" s="67"/>
      <c r="D29" s="67"/>
      <c r="E29" s="67"/>
      <c r="F29" s="67"/>
      <c r="G29" s="68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68"/>
      <c r="S29" s="68"/>
      <c r="T29" s="68"/>
      <c r="U29" s="68"/>
      <c r="V29" s="68"/>
      <c r="W29" s="86"/>
      <c r="X29" s="68"/>
      <c r="Y29" s="68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5"/>
      <c r="AK29" s="84"/>
      <c r="AL29" s="78"/>
      <c r="AM29" s="82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70"/>
      <c r="AY29" s="270"/>
      <c r="AZ29" s="269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68"/>
      <c r="BM29" s="70"/>
      <c r="BN29" s="80"/>
      <c r="BO29" s="80"/>
      <c r="BP29" s="80"/>
      <c r="BQ29" s="80"/>
      <c r="BR29" s="80"/>
      <c r="BS29" s="80"/>
      <c r="BT29" s="80"/>
      <c r="BU29" s="80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67"/>
      <c r="CT29" s="67"/>
      <c r="CU29" s="67"/>
      <c r="CV29" s="67"/>
      <c r="CW29" s="67"/>
    </row>
    <row r="30" spans="1:101" ht="3.75" customHeight="1">
      <c r="A30" s="80"/>
      <c r="B30" s="80"/>
      <c r="C30" s="80"/>
      <c r="D30" s="88"/>
      <c r="E30" s="88"/>
      <c r="F30" s="88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87"/>
      <c r="W30" s="87"/>
      <c r="X30" s="68"/>
      <c r="Y30" s="68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5"/>
      <c r="AK30" s="84"/>
      <c r="AL30" s="78"/>
      <c r="AM30" s="82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70"/>
      <c r="AY30" s="270"/>
      <c r="AZ30" s="269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68"/>
      <c r="BM30" s="70"/>
      <c r="BN30" s="80"/>
      <c r="BO30" s="80"/>
      <c r="BP30" s="80"/>
      <c r="BQ30" s="80"/>
      <c r="BR30" s="80"/>
      <c r="BS30" s="80"/>
      <c r="BT30" s="80"/>
      <c r="BU30" s="80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67"/>
      <c r="CT30" s="67"/>
      <c r="CU30" s="67"/>
      <c r="CV30" s="67"/>
      <c r="CW30" s="67"/>
    </row>
    <row r="31" spans="1:101" ht="3.75" customHeight="1">
      <c r="A31" s="80"/>
      <c r="B31" s="80"/>
      <c r="C31" s="80"/>
      <c r="D31" s="88"/>
      <c r="E31" s="88"/>
      <c r="F31" s="88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87"/>
      <c r="W31" s="87"/>
      <c r="X31" s="68"/>
      <c r="Y31" s="68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5"/>
      <c r="AK31" s="84"/>
      <c r="AL31" s="78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93"/>
      <c r="AY31" s="92"/>
      <c r="AZ31" s="269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68"/>
      <c r="BM31" s="7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79"/>
      <c r="CF31" s="79"/>
      <c r="CG31" s="74"/>
      <c r="CH31" s="74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67"/>
      <c r="CT31" s="67"/>
      <c r="CU31" s="67"/>
      <c r="CV31" s="67"/>
      <c r="CW31" s="67"/>
    </row>
    <row r="32" spans="1:101" ht="3.75" customHeight="1">
      <c r="A32" s="80"/>
      <c r="B32" s="80"/>
      <c r="C32" s="80"/>
      <c r="D32" s="88"/>
      <c r="E32" s="88"/>
      <c r="F32" s="88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87"/>
      <c r="W32" s="87"/>
      <c r="X32" s="70"/>
      <c r="Y32" s="68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5"/>
      <c r="AK32" s="84"/>
      <c r="AL32" s="257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93"/>
      <c r="AY32" s="92"/>
      <c r="AZ32" s="78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68"/>
      <c r="BM32" s="68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79"/>
      <c r="CF32" s="79"/>
      <c r="CG32" s="74"/>
      <c r="CH32" s="74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67"/>
      <c r="CT32" s="67"/>
      <c r="CU32" s="67"/>
      <c r="CV32" s="67"/>
      <c r="CW32" s="67"/>
    </row>
    <row r="33" spans="1:101" ht="3.75" customHeight="1">
      <c r="A33" s="80"/>
      <c r="B33" s="80"/>
      <c r="C33" s="80"/>
      <c r="D33" s="88"/>
      <c r="E33" s="88"/>
      <c r="F33" s="88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271" t="s">
        <v>89</v>
      </c>
      <c r="W33" s="271"/>
      <c r="X33" s="271"/>
      <c r="Y33" s="271"/>
      <c r="Z33" s="271" t="str">
        <f>'BC3'!B19</f>
        <v>Marián Košťál</v>
      </c>
      <c r="AA33" s="271"/>
      <c r="AB33" s="271"/>
      <c r="AC33" s="271"/>
      <c r="AD33" s="271"/>
      <c r="AE33" s="271"/>
      <c r="AF33" s="271"/>
      <c r="AG33" s="271"/>
      <c r="AH33" s="271"/>
      <c r="AI33" s="271"/>
      <c r="AJ33" s="281">
        <v>8</v>
      </c>
      <c r="AK33" s="281"/>
      <c r="AL33" s="257"/>
      <c r="AM33" s="82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96"/>
      <c r="AY33" s="96"/>
      <c r="AZ33" s="78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68"/>
      <c r="BN33" s="74"/>
      <c r="BO33" s="73"/>
      <c r="BP33" s="73"/>
      <c r="BQ33" s="73"/>
      <c r="BR33" s="73"/>
      <c r="BS33" s="73"/>
      <c r="BT33" s="73"/>
      <c r="BU33" s="73"/>
      <c r="BV33" s="80"/>
      <c r="BW33" s="80"/>
      <c r="BX33" s="80"/>
      <c r="BY33" s="80"/>
      <c r="BZ33" s="80"/>
      <c r="CA33" s="80"/>
      <c r="CB33" s="80"/>
      <c r="CC33" s="80"/>
      <c r="CD33" s="80"/>
      <c r="CE33" s="79"/>
      <c r="CF33" s="79"/>
      <c r="CG33" s="80"/>
      <c r="CH33" s="74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67"/>
      <c r="CT33" s="67"/>
      <c r="CU33" s="67"/>
      <c r="CV33" s="67"/>
      <c r="CW33" s="67"/>
    </row>
    <row r="34" spans="1:101" ht="3.75" customHeight="1">
      <c r="A34" s="97"/>
      <c r="B34" s="67"/>
      <c r="C34" s="67"/>
      <c r="D34" s="67"/>
      <c r="E34" s="67"/>
      <c r="F34" s="67"/>
      <c r="G34" s="68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68"/>
      <c r="S34" s="68"/>
      <c r="T34" s="68"/>
      <c r="U34" s="68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81"/>
      <c r="AK34" s="281"/>
      <c r="AL34" s="257"/>
      <c r="AM34" s="82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96"/>
      <c r="AY34" s="96"/>
      <c r="AZ34" s="78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68"/>
      <c r="BN34" s="74"/>
      <c r="BO34" s="73"/>
      <c r="BP34" s="73"/>
      <c r="BQ34" s="73"/>
      <c r="BR34" s="73"/>
      <c r="BS34" s="73"/>
      <c r="BT34" s="73"/>
      <c r="BU34" s="73"/>
      <c r="BV34" s="80"/>
      <c r="BW34" s="80"/>
      <c r="BX34" s="80"/>
      <c r="BY34" s="80"/>
      <c r="BZ34" s="80"/>
      <c r="CA34" s="80"/>
      <c r="CB34" s="80"/>
      <c r="CC34" s="80"/>
      <c r="CD34" s="80"/>
      <c r="CE34" s="79"/>
      <c r="CF34" s="79"/>
      <c r="CG34" s="80"/>
      <c r="CH34" s="74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67"/>
      <c r="CT34" s="67"/>
      <c r="CU34" s="67"/>
      <c r="CV34" s="67"/>
      <c r="CW34" s="67"/>
    </row>
    <row r="35" spans="1:101" ht="3.75" customHeight="1">
      <c r="A35" s="97"/>
      <c r="B35" s="67"/>
      <c r="C35" s="67"/>
      <c r="D35" s="67"/>
      <c r="E35" s="67"/>
      <c r="F35" s="67"/>
      <c r="G35" s="68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68"/>
      <c r="S35" s="68"/>
      <c r="T35" s="68"/>
      <c r="U35" s="68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81"/>
      <c r="AK35" s="281"/>
      <c r="AL35" s="89"/>
      <c r="AM35" s="9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96"/>
      <c r="AY35" s="96"/>
      <c r="AZ35" s="98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68"/>
      <c r="BN35" s="74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5"/>
      <c r="CG35" s="80"/>
      <c r="CH35" s="74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67"/>
      <c r="CT35" s="67"/>
      <c r="CU35" s="67"/>
      <c r="CV35" s="67"/>
      <c r="CW35" s="67"/>
    </row>
    <row r="36" spans="1:101" ht="3.75" customHeight="1">
      <c r="A36" s="80"/>
      <c r="B36" s="80"/>
      <c r="C36" s="80"/>
      <c r="D36" s="88"/>
      <c r="E36" s="88"/>
      <c r="F36" s="88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81"/>
      <c r="AK36" s="281"/>
      <c r="AL36" s="100"/>
      <c r="AM36" s="9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96"/>
      <c r="AY36" s="96"/>
      <c r="AZ36" s="98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68"/>
      <c r="BN36" s="74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5"/>
      <c r="CG36" s="74"/>
      <c r="CH36" s="74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67"/>
      <c r="CT36" s="67"/>
      <c r="CU36" s="67"/>
      <c r="CV36" s="67"/>
      <c r="CW36" s="67"/>
    </row>
    <row r="37" spans="1:101" ht="3.75" customHeight="1">
      <c r="A37" s="80"/>
      <c r="B37" s="80"/>
      <c r="C37" s="80"/>
      <c r="D37" s="88"/>
      <c r="E37" s="88"/>
      <c r="F37" s="88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87"/>
      <c r="W37" s="87"/>
      <c r="X37" s="70"/>
      <c r="Y37" s="68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5"/>
      <c r="AK37" s="84"/>
      <c r="AL37" s="100"/>
      <c r="AM37" s="9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96"/>
      <c r="AY37" s="96"/>
      <c r="AZ37" s="98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68"/>
      <c r="BN37" s="74"/>
      <c r="BO37" s="73"/>
      <c r="BP37" s="73"/>
      <c r="BQ37" s="73"/>
      <c r="BR37" s="73"/>
      <c r="BS37" s="73"/>
      <c r="CF37" s="75"/>
      <c r="CG37" s="74"/>
      <c r="CH37" s="74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67"/>
      <c r="CT37" s="67"/>
      <c r="CU37" s="67"/>
      <c r="CV37" s="67"/>
      <c r="CW37" s="67"/>
    </row>
    <row r="38" spans="1:101" ht="3.75" customHeight="1">
      <c r="A38" s="80"/>
      <c r="B38" s="80"/>
      <c r="C38" s="80"/>
      <c r="D38" s="88"/>
      <c r="E38" s="88"/>
      <c r="F38" s="88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87"/>
      <c r="W38" s="87"/>
      <c r="X38" s="68"/>
      <c r="Y38" s="68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5"/>
      <c r="AK38" s="84"/>
      <c r="AL38" s="100"/>
      <c r="AM38" s="9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96"/>
      <c r="AY38" s="96"/>
      <c r="AZ38" s="98"/>
      <c r="BA38" s="82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74"/>
      <c r="BO38" s="73"/>
      <c r="BP38" s="73"/>
      <c r="BQ38" s="73"/>
      <c r="BR38" s="73"/>
      <c r="BS38" s="73"/>
      <c r="CF38" s="75"/>
      <c r="CG38" s="74"/>
      <c r="CH38" s="74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67"/>
      <c r="CT38" s="67"/>
      <c r="CU38" s="67"/>
      <c r="CV38" s="67"/>
      <c r="CW38" s="67"/>
    </row>
    <row r="39" spans="1:101" ht="3.75" customHeight="1">
      <c r="A39" s="80"/>
      <c r="B39" s="80"/>
      <c r="C39" s="80"/>
      <c r="D39" s="88"/>
      <c r="E39" s="88"/>
      <c r="F39" s="88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87"/>
      <c r="W39" s="87"/>
      <c r="X39" s="68"/>
      <c r="Y39" s="68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5"/>
      <c r="AK39" s="84"/>
      <c r="AL39" s="100"/>
      <c r="AM39" s="9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96"/>
      <c r="AY39" s="96"/>
      <c r="AZ39" s="98"/>
      <c r="BA39" s="82"/>
      <c r="BB39" s="258" t="str">
        <f>AO51</f>
        <v>Michal Tižo </v>
      </c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74"/>
      <c r="BO39" s="73"/>
      <c r="BP39" s="73"/>
      <c r="BQ39" s="73"/>
      <c r="BR39" s="73"/>
      <c r="BS39" s="73"/>
      <c r="CF39" s="75"/>
      <c r="CG39" s="74"/>
      <c r="CH39" s="74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67"/>
      <c r="CT39" s="67"/>
      <c r="CU39" s="67"/>
      <c r="CV39" s="67"/>
      <c r="CW39" s="67"/>
    </row>
    <row r="40" spans="1:101" ht="3.75" customHeight="1">
      <c r="A40" s="97"/>
      <c r="B40" s="67"/>
      <c r="C40" s="67"/>
      <c r="D40" s="67"/>
      <c r="E40" s="67"/>
      <c r="F40" s="67"/>
      <c r="G40" s="68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68"/>
      <c r="S40" s="68"/>
      <c r="T40" s="68"/>
      <c r="U40" s="68"/>
      <c r="V40" s="68"/>
      <c r="W40" s="86"/>
      <c r="X40" s="68"/>
      <c r="Y40" s="68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5"/>
      <c r="AK40" s="84"/>
      <c r="AL40" s="100"/>
      <c r="AM40" s="9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96"/>
      <c r="AY40" s="96"/>
      <c r="AZ40" s="98"/>
      <c r="BA40" s="82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74"/>
      <c r="BO40" s="73"/>
      <c r="BP40" s="73"/>
      <c r="BQ40" s="73"/>
      <c r="BR40" s="73"/>
      <c r="BS40" s="73"/>
      <c r="CF40" s="75"/>
      <c r="CG40" s="74"/>
      <c r="CH40" s="74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67"/>
      <c r="CT40" s="67"/>
      <c r="CU40" s="67"/>
      <c r="CV40" s="67"/>
      <c r="CW40" s="67"/>
    </row>
    <row r="41" spans="1:101" ht="3.75" customHeight="1">
      <c r="A41" s="97"/>
      <c r="B41" s="67"/>
      <c r="C41" s="67"/>
      <c r="D41" s="67"/>
      <c r="E41" s="67"/>
      <c r="F41" s="67"/>
      <c r="G41" s="68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68"/>
      <c r="S41" s="68"/>
      <c r="T41" s="68"/>
      <c r="U41" s="68"/>
      <c r="V41" s="68"/>
      <c r="W41" s="86"/>
      <c r="X41" s="68"/>
      <c r="Y41" s="68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5"/>
      <c r="AK41" s="84"/>
      <c r="AL41" s="100"/>
      <c r="AM41" s="9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96"/>
      <c r="AY41" s="96"/>
      <c r="AZ41" s="98"/>
      <c r="BA41" s="71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74"/>
      <c r="BO41" s="73"/>
      <c r="BP41" s="73"/>
      <c r="BQ41" s="73"/>
      <c r="BR41" s="73"/>
      <c r="BS41" s="73"/>
      <c r="CF41" s="75"/>
      <c r="CG41" s="74"/>
      <c r="CH41" s="74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67"/>
      <c r="CT41" s="67"/>
      <c r="CU41" s="67"/>
      <c r="CV41" s="67"/>
      <c r="CW41" s="67"/>
    </row>
    <row r="42" spans="1:101" ht="3.75" customHeight="1">
      <c r="A42" s="80"/>
      <c r="B42" s="80"/>
      <c r="C42" s="80"/>
      <c r="D42" s="88"/>
      <c r="E42" s="88"/>
      <c r="F42" s="88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87"/>
      <c r="W42" s="87"/>
      <c r="X42" s="68"/>
      <c r="Y42" s="68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5"/>
      <c r="AK42" s="84"/>
      <c r="AL42" s="100"/>
      <c r="AM42" s="9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96"/>
      <c r="AY42" s="96"/>
      <c r="AZ42" s="98"/>
      <c r="BA42" s="6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74"/>
      <c r="BO42" s="73"/>
      <c r="BP42" s="73"/>
      <c r="BQ42" s="73"/>
      <c r="BR42" s="73"/>
      <c r="BS42" s="73"/>
      <c r="CF42" s="75"/>
      <c r="CG42" s="74"/>
      <c r="CH42" s="74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67"/>
      <c r="CT42" s="67"/>
      <c r="CU42" s="67"/>
      <c r="CV42" s="67"/>
      <c r="CW42" s="67"/>
    </row>
    <row r="43" spans="1:101" ht="3.75" customHeight="1">
      <c r="A43" s="80"/>
      <c r="B43" s="80"/>
      <c r="C43" s="80"/>
      <c r="D43" s="88"/>
      <c r="E43" s="88"/>
      <c r="F43" s="88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87"/>
      <c r="W43" s="87"/>
      <c r="X43" s="68"/>
      <c r="Y43" s="68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5"/>
      <c r="AK43" s="84"/>
      <c r="AL43" s="100"/>
      <c r="AM43" s="9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96"/>
      <c r="AY43" s="96"/>
      <c r="AZ43" s="98"/>
      <c r="BA43" s="68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68"/>
      <c r="BN43" s="74"/>
      <c r="BO43" s="73"/>
      <c r="BP43" s="73"/>
      <c r="BQ43" s="73"/>
      <c r="BR43" s="73"/>
      <c r="BS43" s="73"/>
      <c r="CF43" s="75"/>
      <c r="CG43" s="74"/>
      <c r="CH43" s="74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67"/>
      <c r="CT43" s="67"/>
      <c r="CU43" s="67"/>
      <c r="CV43" s="67"/>
      <c r="CW43" s="67"/>
    </row>
    <row r="44" spans="1:101" ht="3.75" customHeight="1">
      <c r="A44" s="80"/>
      <c r="B44" s="80"/>
      <c r="C44" s="80"/>
      <c r="D44" s="88"/>
      <c r="E44" s="88"/>
      <c r="F44" s="88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87"/>
      <c r="W44" s="87"/>
      <c r="X44" s="70"/>
      <c r="Y44" s="68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5"/>
      <c r="AK44" s="84"/>
      <c r="AL44" s="100"/>
      <c r="AM44" s="9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96"/>
      <c r="AY44" s="96"/>
      <c r="AZ44" s="98"/>
      <c r="BA44" s="68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69"/>
      <c r="CF44" s="75"/>
      <c r="CG44" s="74"/>
      <c r="CH44" s="74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67"/>
      <c r="CT44" s="67"/>
      <c r="CU44" s="67"/>
      <c r="CV44" s="67"/>
      <c r="CW44" s="67"/>
    </row>
    <row r="45" spans="1:101" ht="3.75" customHeight="1">
      <c r="A45" s="80"/>
      <c r="B45" s="80"/>
      <c r="C45" s="80"/>
      <c r="D45" s="88"/>
      <c r="E45" s="88"/>
      <c r="F45" s="88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71" t="s">
        <v>88</v>
      </c>
      <c r="W45" s="271"/>
      <c r="X45" s="271"/>
      <c r="Y45" s="271"/>
      <c r="Z45" s="271" t="str">
        <f>'BC3'!B18</f>
        <v>Michal Tižo </v>
      </c>
      <c r="AA45" s="271"/>
      <c r="AB45" s="271"/>
      <c r="AC45" s="271"/>
      <c r="AD45" s="271"/>
      <c r="AE45" s="271"/>
      <c r="AF45" s="271"/>
      <c r="AG45" s="271"/>
      <c r="AH45" s="271"/>
      <c r="AI45" s="271"/>
      <c r="AJ45" s="258">
        <v>7</v>
      </c>
      <c r="AK45" s="258"/>
      <c r="AL45" s="100"/>
      <c r="AM45" s="9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96"/>
      <c r="AY45" s="96"/>
      <c r="AZ45" s="98"/>
      <c r="BA45" s="68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CF45" s="75"/>
      <c r="CG45" s="74"/>
      <c r="CH45" s="74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67"/>
      <c r="CT45" s="67"/>
      <c r="CU45" s="67"/>
      <c r="CV45" s="67"/>
      <c r="CW45" s="67"/>
    </row>
    <row r="46" spans="1:101" ht="3.75" customHeight="1">
      <c r="A46" s="97"/>
      <c r="B46" s="67"/>
      <c r="C46" s="67"/>
      <c r="D46" s="67"/>
      <c r="E46" s="67"/>
      <c r="F46" s="67"/>
      <c r="G46" s="68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68"/>
      <c r="S46" s="68"/>
      <c r="T46" s="68"/>
      <c r="U46" s="68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58"/>
      <c r="AK46" s="258"/>
      <c r="AL46" s="100"/>
      <c r="AM46" s="9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96"/>
      <c r="AY46" s="96"/>
      <c r="AZ46" s="98"/>
      <c r="BA46" s="68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CF46" s="75"/>
      <c r="CG46" s="74"/>
      <c r="CH46" s="74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67"/>
      <c r="CT46" s="67"/>
      <c r="CU46" s="67"/>
      <c r="CV46" s="67"/>
      <c r="CW46" s="67"/>
    </row>
    <row r="47" spans="1:101" ht="3.75" customHeight="1">
      <c r="A47" s="97"/>
      <c r="B47" s="67"/>
      <c r="C47" s="67"/>
      <c r="D47" s="67"/>
      <c r="E47" s="67"/>
      <c r="F47" s="67"/>
      <c r="G47" s="68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68"/>
      <c r="S47" s="68"/>
      <c r="T47" s="68"/>
      <c r="U47" s="68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58"/>
      <c r="AK47" s="258"/>
      <c r="AL47" s="269"/>
      <c r="AM47" s="82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96"/>
      <c r="AY47" s="96"/>
      <c r="AZ47" s="78"/>
      <c r="BA47" s="68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CF47" s="75"/>
      <c r="CG47" s="74"/>
      <c r="CH47" s="74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67"/>
      <c r="CT47" s="67"/>
      <c r="CU47" s="67"/>
      <c r="CV47" s="67"/>
      <c r="CW47" s="67"/>
    </row>
    <row r="48" spans="1:101" ht="3.75" customHeight="1">
      <c r="A48" s="80"/>
      <c r="B48" s="80"/>
      <c r="C48" s="80"/>
      <c r="D48" s="88"/>
      <c r="E48" s="88"/>
      <c r="F48" s="88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58"/>
      <c r="AK48" s="258"/>
      <c r="AL48" s="269"/>
      <c r="AM48" s="82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96"/>
      <c r="AY48" s="96"/>
      <c r="AZ48" s="78"/>
      <c r="BA48" s="68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CF48" s="75"/>
      <c r="CG48" s="74"/>
      <c r="CH48" s="74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67"/>
      <c r="CT48" s="67"/>
      <c r="CU48" s="67"/>
      <c r="CV48" s="67"/>
      <c r="CW48" s="67"/>
    </row>
    <row r="49" spans="1:101" ht="3.75" customHeight="1">
      <c r="A49" s="80"/>
      <c r="B49" s="80"/>
      <c r="C49" s="80"/>
      <c r="D49" s="88"/>
      <c r="E49" s="88"/>
      <c r="F49" s="88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87"/>
      <c r="W49" s="87"/>
      <c r="X49" s="70"/>
      <c r="Y49" s="68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5"/>
      <c r="AK49" s="84"/>
      <c r="AL49" s="269"/>
      <c r="AM49" s="82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4"/>
      <c r="AY49" s="94"/>
      <c r="AZ49" s="78"/>
      <c r="BA49" s="68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CF49" s="75"/>
      <c r="CG49" s="74"/>
      <c r="CH49" s="74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67"/>
      <c r="CT49" s="67"/>
      <c r="CU49" s="67"/>
      <c r="CV49" s="67"/>
      <c r="CW49" s="67"/>
    </row>
    <row r="50" spans="1:101" ht="3.75" customHeight="1">
      <c r="A50" s="80"/>
      <c r="B50" s="80"/>
      <c r="C50" s="80"/>
      <c r="D50" s="88"/>
      <c r="E50" s="88"/>
      <c r="F50" s="88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87"/>
      <c r="W50" s="87"/>
      <c r="X50" s="68"/>
      <c r="Y50" s="68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5"/>
      <c r="AK50" s="84"/>
      <c r="AL50" s="78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93"/>
      <c r="AY50" s="92"/>
      <c r="AZ50" s="257"/>
      <c r="BA50" s="68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CF50" s="75"/>
      <c r="CG50" s="74"/>
      <c r="CH50" s="74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67"/>
      <c r="CT50" s="67"/>
      <c r="CU50" s="67"/>
      <c r="CV50" s="67"/>
      <c r="CW50" s="67"/>
    </row>
    <row r="51" spans="1:101" ht="3.75" customHeight="1">
      <c r="A51" s="80"/>
      <c r="B51" s="80"/>
      <c r="C51" s="80"/>
      <c r="D51" s="88"/>
      <c r="E51" s="88"/>
      <c r="F51" s="88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87"/>
      <c r="W51" s="87"/>
      <c r="X51" s="68"/>
      <c r="Y51" s="68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5"/>
      <c r="AK51" s="84"/>
      <c r="AL51" s="78"/>
      <c r="AM51" s="82"/>
      <c r="AN51" s="255" t="s">
        <v>95</v>
      </c>
      <c r="AO51" s="255" t="str">
        <f>Z45</f>
        <v>Michal Tižo </v>
      </c>
      <c r="AP51" s="255"/>
      <c r="AQ51" s="255"/>
      <c r="AR51" s="255"/>
      <c r="AS51" s="255"/>
      <c r="AT51" s="255"/>
      <c r="AU51" s="255"/>
      <c r="AV51" s="255"/>
      <c r="AW51" s="255"/>
      <c r="AX51" s="270">
        <v>7</v>
      </c>
      <c r="AY51" s="270"/>
      <c r="AZ51" s="257"/>
      <c r="BA51" s="68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CF51" s="75"/>
      <c r="CG51" s="74"/>
      <c r="CH51" s="74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67"/>
      <c r="CT51" s="67"/>
      <c r="CU51" s="67"/>
      <c r="CV51" s="67"/>
      <c r="CW51" s="67"/>
    </row>
    <row r="52" spans="1:101" ht="3.75" customHeight="1">
      <c r="A52" s="67"/>
      <c r="B52" s="67"/>
      <c r="C52" s="67"/>
      <c r="D52" s="67"/>
      <c r="E52" s="67"/>
      <c r="F52" s="67"/>
      <c r="G52" s="68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68"/>
      <c r="S52" s="68"/>
      <c r="T52" s="68"/>
      <c r="U52" s="68"/>
      <c r="V52" s="68"/>
      <c r="W52" s="86"/>
      <c r="X52" s="68"/>
      <c r="Y52" s="68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5"/>
      <c r="AK52" s="84"/>
      <c r="AL52" s="78"/>
      <c r="AM52" s="82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70"/>
      <c r="AY52" s="270"/>
      <c r="AZ52" s="257"/>
      <c r="BA52" s="68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CF52" s="75"/>
      <c r="CG52" s="74"/>
      <c r="CH52" s="74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67"/>
      <c r="CT52" s="67"/>
      <c r="CU52" s="67"/>
      <c r="CV52" s="67"/>
      <c r="CW52" s="67"/>
    </row>
    <row r="53" spans="1:101" ht="3.75" customHeight="1">
      <c r="A53" s="67"/>
      <c r="B53" s="67"/>
      <c r="C53" s="67"/>
      <c r="D53" s="67"/>
      <c r="E53" s="67"/>
      <c r="F53" s="67"/>
      <c r="G53" s="68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68"/>
      <c r="S53" s="68"/>
      <c r="T53" s="68"/>
      <c r="U53" s="68"/>
      <c r="V53" s="68"/>
      <c r="W53" s="86"/>
      <c r="X53" s="68"/>
      <c r="Y53" s="68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5"/>
      <c r="AK53" s="84"/>
      <c r="AL53" s="78"/>
      <c r="AM53" s="71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70"/>
      <c r="AY53" s="270"/>
      <c r="AZ53" s="82"/>
      <c r="BA53" s="68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CF53" s="75"/>
      <c r="CG53" s="74"/>
      <c r="CH53" s="74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67"/>
      <c r="CT53" s="67"/>
      <c r="CU53" s="67"/>
      <c r="CV53" s="67"/>
      <c r="CW53" s="67"/>
    </row>
    <row r="54" spans="1:101" ht="3.75" customHeight="1">
      <c r="A54" s="67"/>
      <c r="B54" s="80"/>
      <c r="C54" s="80"/>
      <c r="D54" s="88"/>
      <c r="E54" s="88"/>
      <c r="F54" s="88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87"/>
      <c r="W54" s="87"/>
      <c r="X54" s="68"/>
      <c r="Y54" s="68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5"/>
      <c r="AK54" s="84"/>
      <c r="AL54" s="78"/>
      <c r="AM54" s="82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70"/>
      <c r="AY54" s="270"/>
      <c r="AZ54" s="82"/>
      <c r="BA54" s="68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CF54" s="75"/>
      <c r="CG54" s="74"/>
      <c r="CH54" s="74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67"/>
      <c r="CT54" s="67"/>
      <c r="CU54" s="67"/>
      <c r="CV54" s="67"/>
      <c r="CW54" s="67"/>
    </row>
    <row r="55" spans="1:101" ht="3.75" customHeight="1">
      <c r="A55" s="67"/>
      <c r="B55" s="80"/>
      <c r="C55" s="80"/>
      <c r="D55" s="88"/>
      <c r="E55" s="88"/>
      <c r="F55" s="88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87"/>
      <c r="W55" s="87"/>
      <c r="X55" s="68"/>
      <c r="Y55" s="68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5"/>
      <c r="AK55" s="84"/>
      <c r="AL55" s="78"/>
      <c r="AM55" s="82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4"/>
      <c r="AZ55" s="82"/>
      <c r="BA55" s="68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CF55" s="79"/>
      <c r="CG55" s="74"/>
      <c r="CH55" s="74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67"/>
      <c r="CT55" s="67"/>
      <c r="CU55" s="67"/>
      <c r="CV55" s="67"/>
      <c r="CW55" s="67"/>
    </row>
    <row r="56" spans="1:101" ht="3.75" customHeight="1">
      <c r="A56" s="67"/>
      <c r="B56" s="80"/>
      <c r="C56" s="80"/>
      <c r="D56" s="88"/>
      <c r="E56" s="88"/>
      <c r="F56" s="88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87"/>
      <c r="W56" s="87"/>
      <c r="X56" s="70"/>
      <c r="Y56" s="68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5"/>
      <c r="AK56" s="84"/>
      <c r="AL56" s="257"/>
      <c r="AM56" s="82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4"/>
      <c r="AZ56" s="82"/>
      <c r="BA56" s="68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CD56" s="80"/>
      <c r="CE56" s="73"/>
      <c r="CF56" s="79"/>
      <c r="CG56" s="74"/>
      <c r="CH56" s="74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67"/>
      <c r="CT56" s="67"/>
      <c r="CU56" s="67"/>
      <c r="CV56" s="67"/>
      <c r="CW56" s="67"/>
    </row>
    <row r="57" spans="1:101" ht="3.75" customHeight="1">
      <c r="A57" s="67"/>
      <c r="B57" s="80"/>
      <c r="C57" s="80"/>
      <c r="D57" s="88"/>
      <c r="E57" s="88"/>
      <c r="F57" s="88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271" t="s">
        <v>87</v>
      </c>
      <c r="W57" s="271"/>
      <c r="X57" s="271"/>
      <c r="Y57" s="271"/>
      <c r="Z57" s="271" t="str">
        <f>'BC3'!B13</f>
        <v>František Fábry</v>
      </c>
      <c r="AA57" s="271"/>
      <c r="AB57" s="271"/>
      <c r="AC57" s="271"/>
      <c r="AD57" s="271"/>
      <c r="AE57" s="271"/>
      <c r="AF57" s="271"/>
      <c r="AG57" s="271"/>
      <c r="AH57" s="271"/>
      <c r="AI57" s="271"/>
      <c r="AJ57" s="258">
        <v>2</v>
      </c>
      <c r="AK57" s="258"/>
      <c r="AL57" s="257"/>
      <c r="AM57" s="82"/>
      <c r="AN57" s="272" t="s">
        <v>28</v>
      </c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4"/>
      <c r="AZ57" s="68"/>
      <c r="BA57" s="68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CD57" s="80"/>
      <c r="CE57" s="73"/>
      <c r="CF57" s="79"/>
      <c r="CG57" s="74"/>
      <c r="CH57" s="74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67"/>
      <c r="CT57" s="67"/>
      <c r="CU57" s="67"/>
      <c r="CV57" s="67"/>
      <c r="CW57" s="67"/>
    </row>
    <row r="58" spans="1:101" ht="3.75" customHeight="1">
      <c r="A58" s="67"/>
      <c r="B58" s="67"/>
      <c r="C58" s="67"/>
      <c r="D58" s="67"/>
      <c r="E58" s="67"/>
      <c r="F58" s="67"/>
      <c r="G58" s="68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68"/>
      <c r="S58" s="68"/>
      <c r="T58" s="68"/>
      <c r="U58" s="68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58"/>
      <c r="AK58" s="258"/>
      <c r="AL58" s="257"/>
      <c r="AM58" s="82"/>
      <c r="AN58" s="275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7"/>
      <c r="AZ58" s="91"/>
      <c r="BA58" s="91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CD58" s="80"/>
      <c r="CE58" s="73"/>
      <c r="CF58" s="79"/>
      <c r="CG58" s="74"/>
      <c r="CH58" s="74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67"/>
      <c r="CT58" s="67"/>
      <c r="CU58" s="67"/>
      <c r="CV58" s="67"/>
      <c r="CW58" s="67"/>
    </row>
    <row r="59" spans="1:101" ht="3.75" customHeight="1">
      <c r="A59" s="67"/>
      <c r="B59" s="67"/>
      <c r="C59" s="67"/>
      <c r="D59" s="67"/>
      <c r="E59" s="67"/>
      <c r="F59" s="67"/>
      <c r="G59" s="68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68"/>
      <c r="S59" s="68"/>
      <c r="T59" s="68"/>
      <c r="U59" s="68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58"/>
      <c r="AK59" s="258"/>
      <c r="AL59" s="82"/>
      <c r="AM59" s="82"/>
      <c r="AN59" s="275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7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CD59" s="74"/>
      <c r="CE59" s="74"/>
      <c r="CF59" s="75"/>
      <c r="CG59" s="74"/>
      <c r="CH59" s="74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67"/>
      <c r="CT59" s="67"/>
      <c r="CU59" s="67"/>
      <c r="CV59" s="67"/>
      <c r="CW59" s="67"/>
    </row>
    <row r="60" spans="1:101" ht="3.75" customHeight="1">
      <c r="A60" s="67"/>
      <c r="B60" s="80"/>
      <c r="C60" s="80"/>
      <c r="D60" s="88"/>
      <c r="E60" s="88"/>
      <c r="F60" s="88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58"/>
      <c r="AK60" s="258"/>
      <c r="AL60" s="82"/>
      <c r="AM60" s="89"/>
      <c r="AN60" s="275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7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CD60" s="74"/>
      <c r="CE60" s="74"/>
      <c r="CF60" s="75"/>
      <c r="CG60" s="74"/>
      <c r="CH60" s="74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67"/>
      <c r="CT60" s="67"/>
      <c r="CU60" s="67"/>
      <c r="CV60" s="67"/>
      <c r="CW60" s="67"/>
    </row>
    <row r="61" spans="1:101" ht="3.75" customHeight="1">
      <c r="A61" s="67"/>
      <c r="B61" s="80"/>
      <c r="C61" s="80"/>
      <c r="D61" s="88"/>
      <c r="E61" s="88"/>
      <c r="F61" s="88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87"/>
      <c r="W61" s="87"/>
      <c r="X61" s="70"/>
      <c r="Y61" s="68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4"/>
      <c r="AL61" s="82"/>
      <c r="AM61" s="82"/>
      <c r="AN61" s="275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7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CD61" s="74"/>
      <c r="CE61" s="74"/>
      <c r="CF61" s="75"/>
      <c r="CG61" s="74"/>
      <c r="CH61" s="74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67"/>
      <c r="CT61" s="67"/>
      <c r="CU61" s="67"/>
      <c r="CV61" s="67"/>
      <c r="CW61" s="67"/>
    </row>
    <row r="62" spans="1:101" ht="3.75" customHeight="1">
      <c r="A62" s="67"/>
      <c r="B62" s="80"/>
      <c r="C62" s="80"/>
      <c r="D62" s="88"/>
      <c r="E62" s="88"/>
      <c r="F62" s="88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87"/>
      <c r="W62" s="87"/>
      <c r="X62" s="68"/>
      <c r="Y62" s="68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4"/>
      <c r="AL62" s="82"/>
      <c r="AM62" s="82"/>
      <c r="AN62" s="275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7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CD62" s="74"/>
      <c r="CE62" s="74"/>
      <c r="CF62" s="75"/>
      <c r="CG62" s="74"/>
      <c r="CH62" s="74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67"/>
      <c r="CT62" s="67"/>
      <c r="CU62" s="67"/>
      <c r="CV62" s="67"/>
      <c r="CW62" s="67"/>
    </row>
    <row r="63" spans="1:101" ht="3.75" customHeight="1">
      <c r="A63" s="67"/>
      <c r="B63" s="80"/>
      <c r="C63" s="80"/>
      <c r="D63" s="88"/>
      <c r="E63" s="88"/>
      <c r="F63" s="88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87"/>
      <c r="W63" s="87"/>
      <c r="X63" s="68"/>
      <c r="Y63" s="68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4"/>
      <c r="AL63" s="82"/>
      <c r="AM63" s="82"/>
      <c r="AN63" s="275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7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CD63" s="74"/>
      <c r="CE63" s="74"/>
      <c r="CF63" s="75"/>
      <c r="CG63" s="74"/>
      <c r="CH63" s="74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67"/>
      <c r="CT63" s="67"/>
      <c r="CU63" s="67"/>
      <c r="CV63" s="67"/>
      <c r="CW63" s="67"/>
    </row>
    <row r="64" spans="1:101" ht="3.75" customHeight="1">
      <c r="A64" s="67"/>
      <c r="B64" s="67"/>
      <c r="C64" s="67"/>
      <c r="D64" s="67"/>
      <c r="E64" s="67"/>
      <c r="F64" s="67"/>
      <c r="G64" s="68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68"/>
      <c r="S64" s="68"/>
      <c r="T64" s="68"/>
      <c r="U64" s="68"/>
      <c r="V64" s="68"/>
      <c r="W64" s="86"/>
      <c r="X64" s="68"/>
      <c r="Y64" s="68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4"/>
      <c r="AL64" s="82"/>
      <c r="AM64" s="82"/>
      <c r="AN64" s="275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7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5"/>
      <c r="CG64" s="74"/>
      <c r="CH64" s="74"/>
      <c r="CI64" s="73"/>
      <c r="CJ64" s="73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</row>
    <row r="65" spans="7:101" ht="3.75" customHeight="1">
      <c r="G65" s="82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68"/>
      <c r="S65" s="68"/>
      <c r="T65" s="68"/>
      <c r="U65" s="68"/>
      <c r="V65" s="68"/>
      <c r="W65" s="84"/>
      <c r="X65" s="82"/>
      <c r="Y65" s="82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4"/>
      <c r="AL65" s="82"/>
      <c r="AM65" s="82"/>
      <c r="AN65" s="275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7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5"/>
      <c r="CG65" s="74"/>
      <c r="CH65" s="74"/>
      <c r="CI65" s="73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</row>
    <row r="66" spans="7:101" ht="3.75" customHeight="1">
      <c r="G66" s="70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8"/>
      <c r="AM66" s="82"/>
      <c r="AN66" s="275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7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5"/>
      <c r="CG66" s="74"/>
      <c r="CH66" s="74"/>
      <c r="CI66" s="73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</row>
    <row r="67" spans="7:101" ht="3.75" customHeight="1">
      <c r="G67" s="70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8"/>
      <c r="AM67" s="82"/>
      <c r="AN67" s="275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7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5"/>
      <c r="CG67" s="74"/>
      <c r="CH67" s="74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</row>
    <row r="68" spans="7:101" ht="3.75" customHeight="1">
      <c r="G68" s="70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8"/>
      <c r="AM68" s="82"/>
      <c r="AN68" s="278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80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5"/>
      <c r="CG68" s="74"/>
      <c r="CH68" s="74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</row>
    <row r="69" spans="7:101" ht="3.75" customHeight="1">
      <c r="G69" s="70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259" t="s">
        <v>86</v>
      </c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5"/>
      <c r="CG69" s="74"/>
      <c r="CH69" s="74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</row>
    <row r="70" spans="7:101" ht="3.75" customHeight="1">
      <c r="G70" s="82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83"/>
      <c r="AK70" s="69"/>
      <c r="AL70" s="69"/>
      <c r="AM70" s="6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5"/>
      <c r="CG70" s="74"/>
      <c r="CH70" s="74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</row>
    <row r="71" spans="7:101" ht="3.75" customHeight="1">
      <c r="G71" s="82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83"/>
      <c r="AK71" s="69"/>
      <c r="AL71" s="69"/>
      <c r="AM71" s="6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5"/>
      <c r="CG71" s="74"/>
      <c r="CH71" s="74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</row>
    <row r="72" spans="7:101" ht="3.75" customHeight="1">
      <c r="G72" s="70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83"/>
      <c r="AK72" s="69"/>
      <c r="AL72" s="69"/>
      <c r="AM72" s="6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5"/>
      <c r="CG72" s="74"/>
      <c r="CH72" s="74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</row>
    <row r="73" spans="2:101" ht="3.75" customHeight="1">
      <c r="B73" s="260" t="s">
        <v>96</v>
      </c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2"/>
      <c r="N73" s="255" t="str">
        <f>Z21</f>
        <v>Boris Klohna</v>
      </c>
      <c r="O73" s="255"/>
      <c r="P73" s="255"/>
      <c r="Q73" s="255"/>
      <c r="R73" s="255"/>
      <c r="S73" s="255"/>
      <c r="T73" s="255"/>
      <c r="U73" s="255"/>
      <c r="V73" s="258">
        <v>4</v>
      </c>
      <c r="W73" s="258"/>
      <c r="X73" s="82"/>
      <c r="Y73" s="82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83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70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5"/>
      <c r="CG73" s="74"/>
      <c r="CH73" s="74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</row>
    <row r="74" spans="2:101" ht="3.75" customHeight="1">
      <c r="B74" s="263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5"/>
      <c r="N74" s="255"/>
      <c r="O74" s="255"/>
      <c r="P74" s="255"/>
      <c r="Q74" s="255"/>
      <c r="R74" s="255"/>
      <c r="S74" s="255"/>
      <c r="T74" s="255"/>
      <c r="U74" s="255"/>
      <c r="V74" s="258"/>
      <c r="W74" s="258"/>
      <c r="X74" s="81"/>
      <c r="Y74" s="68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83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70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5"/>
      <c r="CG74" s="74"/>
      <c r="CH74" s="74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</row>
    <row r="75" spans="2:101" ht="3.75" customHeight="1">
      <c r="B75" s="263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5"/>
      <c r="N75" s="255"/>
      <c r="O75" s="255"/>
      <c r="P75" s="255"/>
      <c r="Q75" s="255"/>
      <c r="R75" s="255"/>
      <c r="S75" s="255"/>
      <c r="T75" s="255"/>
      <c r="U75" s="255"/>
      <c r="V75" s="258"/>
      <c r="W75" s="258"/>
      <c r="X75" s="269"/>
      <c r="Y75" s="68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83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253"/>
      <c r="AV75" s="253"/>
      <c r="AW75" s="253"/>
      <c r="AX75" s="253"/>
      <c r="AY75" s="253"/>
      <c r="AZ75" s="253"/>
      <c r="BA75" s="253"/>
      <c r="BB75" s="253"/>
      <c r="BC75" s="253"/>
      <c r="BD75" s="253"/>
      <c r="BE75" s="253"/>
      <c r="BF75" s="253"/>
      <c r="BG75" s="253"/>
      <c r="BH75" s="253"/>
      <c r="BI75" s="253"/>
      <c r="BJ75" s="253"/>
      <c r="BK75" s="253"/>
      <c r="BL75" s="253"/>
      <c r="BM75" s="25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5"/>
      <c r="CG75" s="74"/>
      <c r="CH75" s="74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</row>
    <row r="76" spans="2:101" ht="3.75" customHeight="1">
      <c r="B76" s="266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8"/>
      <c r="N76" s="255"/>
      <c r="O76" s="255"/>
      <c r="P76" s="255"/>
      <c r="Q76" s="255"/>
      <c r="R76" s="255"/>
      <c r="S76" s="255"/>
      <c r="T76" s="255"/>
      <c r="U76" s="255"/>
      <c r="V76" s="258"/>
      <c r="W76" s="258"/>
      <c r="X76" s="269"/>
      <c r="Y76" s="68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8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5"/>
      <c r="CG76" s="74"/>
      <c r="CH76" s="74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</row>
    <row r="77" spans="7:101" ht="3.75" customHeight="1">
      <c r="G77" s="82"/>
      <c r="H77" s="69"/>
      <c r="I77" s="69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269"/>
      <c r="Y77" s="68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68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253"/>
      <c r="AV77" s="253"/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5"/>
      <c r="CG77" s="74"/>
      <c r="CH77" s="74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</row>
    <row r="78" spans="7:101" ht="3.75" customHeight="1">
      <c r="G78" s="70"/>
      <c r="H78" s="69"/>
      <c r="I78" s="69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78"/>
      <c r="Y78" s="68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68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5"/>
      <c r="CG78" s="80"/>
      <c r="CH78" s="74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</row>
    <row r="79" spans="7:101" ht="3.75" customHeight="1">
      <c r="G79" s="70"/>
      <c r="H79" s="254" t="s">
        <v>85</v>
      </c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69"/>
      <c r="W79" s="69"/>
      <c r="X79" s="78"/>
      <c r="Y79" s="68"/>
      <c r="Z79" s="255" t="str">
        <f>N73</f>
        <v>Boris Klohna</v>
      </c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77"/>
      <c r="AV79" s="77"/>
      <c r="AW79" s="77"/>
      <c r="AX79" s="77"/>
      <c r="AY79" s="77"/>
      <c r="AZ79" s="77"/>
      <c r="BA79" s="77"/>
      <c r="BB79" s="77"/>
      <c r="BC79" s="77"/>
      <c r="BD79" s="82"/>
      <c r="BE79" s="82"/>
      <c r="BF79" s="82"/>
      <c r="BG79" s="82"/>
      <c r="BH79" s="82"/>
      <c r="BI79" s="68"/>
      <c r="BJ79" s="69"/>
      <c r="BK79" s="69"/>
      <c r="BL79" s="69"/>
      <c r="BM79" s="69"/>
      <c r="BZ79" s="80"/>
      <c r="CA79" s="80"/>
      <c r="CB79" s="80"/>
      <c r="CC79" s="80"/>
      <c r="CD79" s="80"/>
      <c r="CE79" s="79"/>
      <c r="CF79" s="79"/>
      <c r="CG79" s="80"/>
      <c r="CH79" s="74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</row>
    <row r="80" spans="7:101" ht="3.75" customHeight="1">
      <c r="G80" s="70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69"/>
      <c r="W80" s="69"/>
      <c r="X80" s="78"/>
      <c r="Y80" s="81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  <c r="BH80" s="256"/>
      <c r="BI80" s="256"/>
      <c r="BJ80" s="256"/>
      <c r="BK80" s="256"/>
      <c r="BL80" s="256"/>
      <c r="BM80" s="256"/>
      <c r="BZ80" s="80"/>
      <c r="CA80" s="80"/>
      <c r="CB80" s="80"/>
      <c r="CC80" s="80"/>
      <c r="CD80" s="80"/>
      <c r="CE80" s="79"/>
      <c r="CF80" s="79"/>
      <c r="CG80" s="80"/>
      <c r="CH80" s="74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</row>
    <row r="81" spans="7:101" ht="3.75" customHeight="1">
      <c r="G81" s="70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69"/>
      <c r="W81" s="69"/>
      <c r="X81" s="78"/>
      <c r="Y81" s="68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56"/>
      <c r="BJ81" s="256"/>
      <c r="BK81" s="256"/>
      <c r="BL81" s="256"/>
      <c r="BM81" s="256"/>
      <c r="BZ81" s="80"/>
      <c r="CA81" s="80"/>
      <c r="CB81" s="80"/>
      <c r="CC81" s="80"/>
      <c r="CD81" s="80"/>
      <c r="CE81" s="79"/>
      <c r="CF81" s="79"/>
      <c r="CG81" s="74"/>
      <c r="CH81" s="74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67"/>
      <c r="CT81" s="67"/>
      <c r="CU81" s="67"/>
      <c r="CV81" s="67"/>
      <c r="CW81" s="67"/>
    </row>
    <row r="82" spans="7:101" ht="3.75" customHeight="1">
      <c r="G82" s="70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69"/>
      <c r="W82" s="69"/>
      <c r="X82" s="78"/>
      <c r="Y82" s="68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256"/>
      <c r="BJ82" s="256"/>
      <c r="BK82" s="256"/>
      <c r="BL82" s="256"/>
      <c r="BM82" s="256"/>
      <c r="CF82" s="79"/>
      <c r="CG82" s="74"/>
      <c r="CH82" s="74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67"/>
      <c r="CT82" s="67"/>
      <c r="CU82" s="67"/>
      <c r="CV82" s="67"/>
      <c r="CW82" s="67"/>
    </row>
    <row r="83" spans="7:101" ht="3.75" customHeight="1">
      <c r="G83" s="70"/>
      <c r="H83" s="69"/>
      <c r="I83" s="69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7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  <c r="BH83" s="256"/>
      <c r="BI83" s="256"/>
      <c r="BJ83" s="256"/>
      <c r="BK83" s="256"/>
      <c r="BL83" s="256"/>
      <c r="BM83" s="256"/>
      <c r="CF83" s="75"/>
      <c r="CG83" s="74"/>
      <c r="CH83" s="74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67"/>
      <c r="CT83" s="67"/>
      <c r="CU83" s="67"/>
      <c r="CV83" s="67"/>
      <c r="CW83" s="67"/>
    </row>
    <row r="84" spans="7:101" ht="3.75" customHeight="1">
      <c r="G84" s="70"/>
      <c r="H84" s="69"/>
      <c r="I84" s="69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257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77"/>
      <c r="AV84" s="77"/>
      <c r="AW84" s="77"/>
      <c r="AX84" s="77"/>
      <c r="AY84" s="77"/>
      <c r="AZ84" s="76"/>
      <c r="BA84" s="76"/>
      <c r="BB84" s="76"/>
      <c r="BC84" s="76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CF84" s="75"/>
      <c r="CG84" s="74"/>
      <c r="CH84" s="74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67"/>
      <c r="CT84" s="67"/>
      <c r="CU84" s="67"/>
      <c r="CV84" s="67"/>
      <c r="CW84" s="67"/>
    </row>
    <row r="85" spans="2:101" ht="3.75" customHeight="1">
      <c r="B85" s="255" t="s">
        <v>100</v>
      </c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 t="str">
        <f>Z57</f>
        <v>František Fábry</v>
      </c>
      <c r="O85" s="255"/>
      <c r="P85" s="255"/>
      <c r="Q85" s="255"/>
      <c r="R85" s="255"/>
      <c r="S85" s="255"/>
      <c r="T85" s="255"/>
      <c r="U85" s="255"/>
      <c r="V85" s="258">
        <v>2</v>
      </c>
      <c r="W85" s="258"/>
      <c r="X85" s="257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256"/>
      <c r="AV85" s="256"/>
      <c r="AW85" s="256"/>
      <c r="AX85" s="256"/>
      <c r="AY85" s="256"/>
      <c r="AZ85" s="256"/>
      <c r="BA85" s="256"/>
      <c r="BB85" s="256"/>
      <c r="BC85" s="256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</row>
    <row r="86" spans="2:101" ht="3.75" customHeight="1"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8"/>
      <c r="W86" s="258"/>
      <c r="X86" s="257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256"/>
      <c r="AV86" s="256"/>
      <c r="AW86" s="256"/>
      <c r="AX86" s="256"/>
      <c r="AY86" s="256"/>
      <c r="AZ86" s="256"/>
      <c r="BA86" s="256"/>
      <c r="BB86" s="256"/>
      <c r="BC86" s="256"/>
      <c r="BD86" s="252"/>
      <c r="BE86" s="252"/>
      <c r="BF86" s="252"/>
      <c r="BG86" s="252"/>
      <c r="BH86" s="252"/>
      <c r="BI86" s="252"/>
      <c r="BJ86" s="252"/>
      <c r="BK86" s="252"/>
      <c r="BL86" s="252"/>
      <c r="BM86" s="252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</row>
    <row r="87" spans="2:101" ht="3.75" customHeight="1"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8"/>
      <c r="W87" s="258"/>
      <c r="X87" s="71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256"/>
      <c r="AV87" s="256"/>
      <c r="AW87" s="256"/>
      <c r="AX87" s="256"/>
      <c r="AY87" s="256"/>
      <c r="AZ87" s="256"/>
      <c r="BA87" s="256"/>
      <c r="BB87" s="256"/>
      <c r="BC87" s="256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</row>
    <row r="88" spans="2:101" ht="3.75" customHeight="1"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8"/>
      <c r="W88" s="258"/>
      <c r="X88" s="68"/>
      <c r="Y88" s="68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256"/>
      <c r="AV88" s="256"/>
      <c r="AW88" s="256"/>
      <c r="AX88" s="256"/>
      <c r="AY88" s="256"/>
      <c r="AZ88" s="256"/>
      <c r="BA88" s="256"/>
      <c r="BB88" s="256"/>
      <c r="BC88" s="256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</row>
  </sheetData>
  <sheetProtection selectLockedCells="1" selectUnlockedCells="1"/>
  <mergeCells count="52">
    <mergeCell ref="V21:Y24"/>
    <mergeCell ref="Z21:AI24"/>
    <mergeCell ref="AN9:AY24"/>
    <mergeCell ref="AJ21:AK24"/>
    <mergeCell ref="AN27:AN30"/>
    <mergeCell ref="AO27:AW30"/>
    <mergeCell ref="BB14:BC17"/>
    <mergeCell ref="BD14:BM17"/>
    <mergeCell ref="BB19:BC22"/>
    <mergeCell ref="BD19:BM22"/>
    <mergeCell ref="BB39:BM42"/>
    <mergeCell ref="V45:Y48"/>
    <mergeCell ref="Z45:AI48"/>
    <mergeCell ref="AJ45:AK48"/>
    <mergeCell ref="AL47:AL49"/>
    <mergeCell ref="BB24:BC27"/>
    <mergeCell ref="BD24:BM27"/>
    <mergeCell ref="AX27:AY30"/>
    <mergeCell ref="AZ29:AZ31"/>
    <mergeCell ref="AL23:AL25"/>
    <mergeCell ref="AO51:AW54"/>
    <mergeCell ref="V57:Y60"/>
    <mergeCell ref="AL32:AL34"/>
    <mergeCell ref="V33:Y36"/>
    <mergeCell ref="Z33:AI36"/>
    <mergeCell ref="AJ33:AK36"/>
    <mergeCell ref="AU75:BC78"/>
    <mergeCell ref="AN57:AY68"/>
    <mergeCell ref="B73:M76"/>
    <mergeCell ref="N73:U76"/>
    <mergeCell ref="BD75:BM78"/>
    <mergeCell ref="AZ50:AZ52"/>
    <mergeCell ref="AX51:AY54"/>
    <mergeCell ref="AL56:AL58"/>
    <mergeCell ref="AN69:AY72"/>
    <mergeCell ref="AN51:AN54"/>
    <mergeCell ref="Z79:AJ82"/>
    <mergeCell ref="B85:M88"/>
    <mergeCell ref="Z57:AI60"/>
    <mergeCell ref="AJ57:AK60"/>
    <mergeCell ref="V73:W76"/>
    <mergeCell ref="X75:X77"/>
    <mergeCell ref="B3:I6"/>
    <mergeCell ref="J3:BM6"/>
    <mergeCell ref="N85:U88"/>
    <mergeCell ref="H79:U82"/>
    <mergeCell ref="AU80:BC83"/>
    <mergeCell ref="BD80:BM83"/>
    <mergeCell ref="BD85:BM88"/>
    <mergeCell ref="X84:X86"/>
    <mergeCell ref="V85:W88"/>
    <mergeCell ref="AU85:BC88"/>
  </mergeCells>
  <printOptions/>
  <pageMargins left="0.75" right="0.75" top="1" bottom="1" header="0.5118055555555555" footer="0.5118055555555555"/>
  <pageSetup horizontalDpi="300" verticalDpi="300" orientation="landscape" paperSize="9" scale="10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showGridLines="0" zoomScalePageLayoutView="0" workbookViewId="0" topLeftCell="A17">
      <selection activeCell="AG14" sqref="AG14"/>
    </sheetView>
  </sheetViews>
  <sheetFormatPr defaultColWidth="9.140625" defaultRowHeight="15"/>
  <cols>
    <col min="1" max="1" width="4.7109375" style="0" customWidth="1"/>
    <col min="2" max="2" width="17.140625" style="2" customWidth="1"/>
    <col min="3" max="3" width="6.57421875" style="2" customWidth="1"/>
    <col min="4" max="4" width="5.7109375" style="2" customWidth="1"/>
    <col min="5" max="5" width="5.7109375" style="2" hidden="1" customWidth="1"/>
    <col min="6" max="6" width="5.7109375" style="2" customWidth="1"/>
    <col min="7" max="7" width="6.28125" style="2" customWidth="1"/>
    <col min="8" max="8" width="5.7109375" style="2" hidden="1" customWidth="1"/>
    <col min="9" max="10" width="5.7109375" style="2" customWidth="1"/>
    <col min="11" max="11" width="5.7109375" style="2" hidden="1" customWidth="1"/>
    <col min="12" max="13" width="5.7109375" style="2" customWidth="1"/>
    <col min="14" max="14" width="5.7109375" style="2" hidden="1" customWidth="1"/>
    <col min="15" max="17" width="3.7109375" style="2" customWidth="1"/>
    <col min="18" max="18" width="5.28125" style="2" customWidth="1"/>
    <col min="19" max="20" width="4.7109375" style="2" customWidth="1"/>
    <col min="21" max="21" width="3.7109375" style="2" customWidth="1"/>
    <col min="22" max="22" width="4.57421875" style="2" customWidth="1"/>
    <col min="23" max="23" width="3.7109375" style="2" customWidth="1"/>
    <col min="24" max="24" width="4.421875" style="2" customWidth="1"/>
    <col min="25" max="25" width="3.7109375" style="2" customWidth="1"/>
    <col min="26" max="26" width="4.421875" style="2" customWidth="1"/>
    <col min="27" max="27" width="12.00390625" style="2" hidden="1" customWidth="1"/>
    <col min="28" max="28" width="4.7109375" style="2" customWidth="1"/>
    <col min="29" max="29" width="11.7109375" style="2" customWidth="1"/>
    <col min="30" max="31" width="4.7109375" style="2" customWidth="1"/>
    <col min="32" max="42" width="4.7109375" style="0" customWidth="1"/>
  </cols>
  <sheetData>
    <row r="1" spans="1:31" ht="16.5" customHeight="1">
      <c r="A1" s="192" t="s">
        <v>7</v>
      </c>
      <c r="B1" s="193"/>
      <c r="C1" s="193"/>
      <c r="D1" s="193"/>
      <c r="E1" s="194"/>
      <c r="F1" s="219" t="s">
        <v>81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E1"/>
    </row>
    <row r="2" spans="1:31" ht="16.5" customHeight="1">
      <c r="A2" s="192" t="s">
        <v>8</v>
      </c>
      <c r="B2" s="193"/>
      <c r="C2" s="193"/>
      <c r="D2" s="193"/>
      <c r="E2" s="194"/>
      <c r="F2" s="240">
        <v>42161</v>
      </c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E2"/>
    </row>
    <row r="3" spans="1:31" ht="16.5" customHeight="1">
      <c r="A3" s="192" t="s">
        <v>9</v>
      </c>
      <c r="B3" s="193"/>
      <c r="C3" s="193"/>
      <c r="D3" s="193"/>
      <c r="E3" s="194"/>
      <c r="F3" s="219" t="s">
        <v>15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E3"/>
    </row>
    <row r="4" spans="1:31" ht="16.5" customHeight="1">
      <c r="A4" s="192" t="s">
        <v>13</v>
      </c>
      <c r="B4" s="193"/>
      <c r="C4" s="193"/>
      <c r="D4" s="193"/>
      <c r="E4" s="194"/>
      <c r="F4" s="219" t="s">
        <v>16</v>
      </c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E4"/>
    </row>
    <row r="5" spans="1:31" ht="16.5" customHeight="1">
      <c r="A5" s="192" t="s">
        <v>11</v>
      </c>
      <c r="B5" s="193"/>
      <c r="C5" s="193"/>
      <c r="D5" s="193"/>
      <c r="E5" s="194"/>
      <c r="F5" s="219">
        <v>11</v>
      </c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E5"/>
    </row>
    <row r="6" spans="1:31" ht="16.5" customHeight="1">
      <c r="A6" s="192" t="s">
        <v>12</v>
      </c>
      <c r="B6" s="193"/>
      <c r="C6" s="193"/>
      <c r="D6" s="193"/>
      <c r="E6" s="194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E6"/>
    </row>
    <row r="7" spans="1:31" ht="16.5" customHeight="1">
      <c r="A7" s="192" t="s">
        <v>10</v>
      </c>
      <c r="B7" s="193"/>
      <c r="C7" s="193"/>
      <c r="D7" s="193"/>
      <c r="E7" s="194"/>
      <c r="F7" s="219" t="s">
        <v>14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E7"/>
    </row>
    <row r="8" ht="15.75" thickBot="1"/>
    <row r="9" spans="1:29" ht="15" customHeight="1" thickBot="1">
      <c r="A9" s="235" t="s">
        <v>70</v>
      </c>
      <c r="B9" s="236"/>
      <c r="C9" s="204">
        <f>A11</f>
        <v>403</v>
      </c>
      <c r="D9" s="205"/>
      <c r="E9" s="47"/>
      <c r="F9" s="205">
        <f>A12</f>
        <v>407</v>
      </c>
      <c r="G9" s="205"/>
      <c r="H9" s="47"/>
      <c r="I9" s="205">
        <f>A13</f>
        <v>401</v>
      </c>
      <c r="J9" s="205"/>
      <c r="K9" s="47"/>
      <c r="L9" s="205">
        <f>A14</f>
        <v>408</v>
      </c>
      <c r="M9" s="232"/>
      <c r="O9" s="248" t="s">
        <v>0</v>
      </c>
      <c r="P9" s="233"/>
      <c r="Q9" s="224" t="s">
        <v>3</v>
      </c>
      <c r="R9" s="225"/>
      <c r="S9" s="248" t="s">
        <v>1</v>
      </c>
      <c r="T9" s="225"/>
      <c r="U9" s="248" t="s">
        <v>4</v>
      </c>
      <c r="V9" s="233"/>
      <c r="W9" s="224" t="s">
        <v>5</v>
      </c>
      <c r="X9" s="233"/>
      <c r="Y9" s="224" t="s">
        <v>6</v>
      </c>
      <c r="Z9" s="225"/>
      <c r="AA9" s="46"/>
      <c r="AB9" s="228" t="s">
        <v>2</v>
      </c>
      <c r="AC9" s="229"/>
    </row>
    <row r="10" spans="1:31" s="1" customFormat="1" ht="57.75" customHeight="1" thickBot="1">
      <c r="A10" s="237"/>
      <c r="B10" s="293"/>
      <c r="C10" s="217" t="str">
        <f>B11</f>
        <v>Samuel Andrejčík</v>
      </c>
      <c r="D10" s="218"/>
      <c r="E10" s="42" t="s">
        <v>21</v>
      </c>
      <c r="F10" s="218" t="str">
        <f>B12</f>
        <v>Martin Strehársky</v>
      </c>
      <c r="G10" s="218"/>
      <c r="H10" s="42" t="s">
        <v>21</v>
      </c>
      <c r="I10" s="218" t="str">
        <f>B13</f>
        <v>Marián Klimčo</v>
      </c>
      <c r="J10" s="218"/>
      <c r="K10" s="42" t="s">
        <v>21</v>
      </c>
      <c r="L10" s="218" t="str">
        <f>B14</f>
        <v>Miroslav Prášil</v>
      </c>
      <c r="M10" s="239"/>
      <c r="N10" s="9" t="s">
        <v>21</v>
      </c>
      <c r="O10" s="249"/>
      <c r="P10" s="234"/>
      <c r="Q10" s="226"/>
      <c r="R10" s="227"/>
      <c r="S10" s="249"/>
      <c r="T10" s="227"/>
      <c r="U10" s="249"/>
      <c r="V10" s="234"/>
      <c r="W10" s="226"/>
      <c r="X10" s="234"/>
      <c r="Y10" s="226"/>
      <c r="Z10" s="227"/>
      <c r="AA10" s="44"/>
      <c r="AB10" s="230"/>
      <c r="AC10" s="231"/>
      <c r="AD10" s="3"/>
      <c r="AE10" s="3"/>
    </row>
    <row r="11" spans="1:29" ht="30" customHeight="1">
      <c r="A11" s="48">
        <f>IF('zoznam hracov'!A$26="nevylosované","401",VLOOKUP("A1",'zoznam hracov'!$A$27:$C$37,2,0))</f>
        <v>403</v>
      </c>
      <c r="B11" s="61" t="str">
        <f>IF('zoznam hracov'!A$26="nevylosované","Hráč 1",VLOOKUP("A1",'zoznam hracov'!A$27:C$37,3,0))</f>
        <v>Samuel Andrejčík</v>
      </c>
      <c r="C11" s="17"/>
      <c r="D11" s="18"/>
      <c r="E11" s="18"/>
      <c r="F11" s="28">
        <v>8</v>
      </c>
      <c r="G11" s="28">
        <v>0</v>
      </c>
      <c r="H11" s="28"/>
      <c r="I11" s="28">
        <v>14</v>
      </c>
      <c r="J11" s="28">
        <v>1</v>
      </c>
      <c r="K11" s="28"/>
      <c r="L11" s="28">
        <v>9</v>
      </c>
      <c r="M11" s="29">
        <v>0</v>
      </c>
      <c r="N11" s="10"/>
      <c r="O11" s="208">
        <f>IF(SUM(C11:N11)=0,"",IF($C11&gt;$D11,1,0)+IF($F11&gt;$G11,1,0)+IF($I11&gt;$J11,1,0)+IF($L11&gt;$M11,1,0)+$E11+$H11+$K11+$N11)</f>
        <v>3</v>
      </c>
      <c r="P11" s="208"/>
      <c r="Q11" s="211">
        <f>IF(SUM(C11:N11)=0,"",IF(C11="",0,1)+IF(F11="",0,1)+IF(I11="",0,1)+IF(L11="",0,1))</f>
        <v>3</v>
      </c>
      <c r="R11" s="212"/>
      <c r="S11" s="11">
        <f aca="true" t="shared" si="0" ref="S11:T13">IF(AND(C11="",F11="",I11="",L11=""),"",N(C11)+N(F11)+N(I11)+N(L11))</f>
        <v>31</v>
      </c>
      <c r="T11" s="14">
        <f t="shared" si="0"/>
        <v>1</v>
      </c>
      <c r="U11" s="215">
        <f>IF(Q11="","",ROUND(O11/Q11,2))</f>
        <v>1</v>
      </c>
      <c r="V11" s="196"/>
      <c r="W11" s="196">
        <f>IF(Q11="","",ROUND((S11-T11)/Q11,2))</f>
        <v>10</v>
      </c>
      <c r="X11" s="196"/>
      <c r="Y11" s="196">
        <f>IF(Q11="","",ROUND(S11/Q11,2))</f>
        <v>10.33</v>
      </c>
      <c r="Z11" s="197"/>
      <c r="AA11" s="6">
        <f>IF(SUM(C11:N11)=0,0,U11*1000000+W11*1000+Y11)</f>
        <v>1010010.33</v>
      </c>
      <c r="AB11" s="332">
        <f>IF(AA11=0,"",IF(LARGE($AA$11:$AA$14,1)=AA11,1,IF(LARGE($AA$11:$AA$14,2)=AA11,2,IF(LARGE($AA$11:$AA$14,3)=AA11,3,IF(LARGE($AA$11:$AA$14,4)=AA11,4,-1)))))</f>
        <v>1</v>
      </c>
      <c r="AC11" s="333"/>
    </row>
    <row r="12" spans="1:29" ht="30" customHeight="1">
      <c r="A12" s="49">
        <f>IF('zoznam hracov'!A$26="nevylosované","402",VLOOKUP("A2",'zoznam hracov'!$A$27:$C$37,2,0))</f>
        <v>407</v>
      </c>
      <c r="B12" s="64" t="str">
        <f>IF('zoznam hracov'!A$26="nevylosované","Hráč 2",VLOOKUP("A2",'zoznam hracov'!A$27:C$37,3,0))</f>
        <v>Martin Strehársky</v>
      </c>
      <c r="C12" s="19">
        <f>IF(G11="","",G11)</f>
        <v>0</v>
      </c>
      <c r="D12" s="20">
        <f>IF(F11="","",F11)</f>
        <v>8</v>
      </c>
      <c r="E12" s="20"/>
      <c r="F12" s="21"/>
      <c r="G12" s="21"/>
      <c r="H12" s="21"/>
      <c r="I12" s="30">
        <v>15</v>
      </c>
      <c r="J12" s="30">
        <v>0</v>
      </c>
      <c r="K12" s="30"/>
      <c r="L12" s="30">
        <v>10</v>
      </c>
      <c r="M12" s="31">
        <v>3</v>
      </c>
      <c r="N12" s="7"/>
      <c r="O12" s="209">
        <f>IF(SUM(C12:N12)=0,"",IF($C12&gt;$D12,1,0)+IF($F12&gt;$G12,1,0)+IF($I12&gt;$J12,1,0)+IF($L12&gt;$M12,1,0)+$E12+$H12+$K12+$N12)</f>
        <v>2</v>
      </c>
      <c r="P12" s="209"/>
      <c r="Q12" s="213">
        <f>IF(SUM(C12:N12)=0,"",IF(C12="",0,1)+IF(F12="",0,1)+IF(I12="",0,1)+IF(L12="",0,1))</f>
        <v>3</v>
      </c>
      <c r="R12" s="214"/>
      <c r="S12" s="12">
        <f t="shared" si="0"/>
        <v>25</v>
      </c>
      <c r="T12" s="15">
        <f t="shared" si="0"/>
        <v>11</v>
      </c>
      <c r="U12" s="216">
        <f>IF(Q12="","",ROUND(O12/Q12,2))</f>
        <v>0.67</v>
      </c>
      <c r="V12" s="198"/>
      <c r="W12" s="198">
        <f>IF(Q12="","",ROUND((S12-T12)/Q12,2))</f>
        <v>4.67</v>
      </c>
      <c r="X12" s="198"/>
      <c r="Y12" s="198">
        <f>IF(Q12="","",ROUND(S12/Q12,2))</f>
        <v>8.33</v>
      </c>
      <c r="Z12" s="199"/>
      <c r="AA12" s="4">
        <f>IF(SUM(C12:N12)=0,0,U12*1000000+W12*1000+Y12)</f>
        <v>674678.33</v>
      </c>
      <c r="AB12" s="329">
        <f>IF(AA12=0,"",IF(LARGE($AA$11:$AA$14,1)=AA12,1,IF(LARGE($AA$11:$AA$14,2)=AA12,2,IF(LARGE($AA$11:$AA$14,3)=AA12,3,IF(LARGE($AA$11:$AA$14,4)=AA12,4,-1)))))</f>
        <v>2</v>
      </c>
      <c r="AC12" s="330"/>
    </row>
    <row r="13" spans="1:29" ht="30" customHeight="1">
      <c r="A13" s="49">
        <f>IF('zoznam hracov'!A$26="nevylosované","403",VLOOKUP("A3",'zoznam hracov'!$A$27:$C$37,2,0))</f>
        <v>401</v>
      </c>
      <c r="B13" s="64" t="str">
        <f>IF('zoznam hracov'!A$26="nevylosované","Hráč 3",VLOOKUP("A3",'zoznam hracov'!A$27:C$37,3,0))</f>
        <v>Marián Klimčo</v>
      </c>
      <c r="C13" s="19">
        <f>IF(J11="","",J11)</f>
        <v>1</v>
      </c>
      <c r="D13" s="20">
        <f>IF(I11="","",I11)</f>
        <v>14</v>
      </c>
      <c r="E13" s="20"/>
      <c r="F13" s="20">
        <f>IF(J12="","",J12)</f>
        <v>0</v>
      </c>
      <c r="G13" s="20">
        <f>IF(I12="","",I12)</f>
        <v>15</v>
      </c>
      <c r="H13" s="20"/>
      <c r="I13" s="21"/>
      <c r="J13" s="21"/>
      <c r="K13" s="21"/>
      <c r="L13" s="30">
        <v>10</v>
      </c>
      <c r="M13" s="31">
        <v>1</v>
      </c>
      <c r="N13" s="7"/>
      <c r="O13" s="209">
        <f>IF(SUM(C13:N13)=0,"",IF($C13&gt;$D13,1,0)+IF($F13&gt;$G13,1,0)+IF($I13&gt;$J13,1,0)+IF($L13&gt;$M13,1,0)+$E13+$H13+$K13+$N13)</f>
        <v>1</v>
      </c>
      <c r="P13" s="209"/>
      <c r="Q13" s="213">
        <f>IF(SUM(C13:N13)=0,"",IF(C13="",0,1)+IF(F13="",0,1)+IF(I13="",0,1)+IF(L13="",0,1))</f>
        <v>3</v>
      </c>
      <c r="R13" s="214"/>
      <c r="S13" s="12">
        <f t="shared" si="0"/>
        <v>11</v>
      </c>
      <c r="T13" s="15">
        <f t="shared" si="0"/>
        <v>30</v>
      </c>
      <c r="U13" s="216">
        <f>IF(Q13="","",ROUND(O13/Q13,2))</f>
        <v>0.33</v>
      </c>
      <c r="V13" s="198"/>
      <c r="W13" s="198">
        <f>IF(Q13="","",ROUND((S13-T13)/Q13,2))</f>
        <v>-6.33</v>
      </c>
      <c r="X13" s="198"/>
      <c r="Y13" s="198">
        <f>IF(Q13="","",ROUND(S13/Q13,2))</f>
        <v>3.67</v>
      </c>
      <c r="Z13" s="199"/>
      <c r="AA13" s="4">
        <f>IF(SUM(C13:N13)=0,0,U13*1000000+W13*1000+Y13)</f>
        <v>323673.67</v>
      </c>
      <c r="AB13" s="220">
        <f>IF(AA13=0,"",IF(LARGE($AA$11:$AA$14,1)=AA13,1,IF(LARGE($AA$11:$AA$14,2)=AA13,2,IF(LARGE($AA$11:$AA$14,3)=AA13,3,IF(LARGE($AA$11:$AA$14,4)=AA13,4,-1)))))</f>
        <v>3</v>
      </c>
      <c r="AC13" s="221"/>
    </row>
    <row r="14" spans="1:29" ht="30" customHeight="1" thickBot="1">
      <c r="A14" s="50">
        <f>IF('zoznam hracov'!A$26="nevylosované","404",VLOOKUP("A4",'zoznam hracov'!$A$27:$C$37,2,0))</f>
        <v>408</v>
      </c>
      <c r="B14" s="65" t="str">
        <f>IF('zoznam hracov'!A$26="nevylosované","Hráč 4",VLOOKUP("A4",'zoznam hracov'!A$27:C$37,3,0))</f>
        <v>Miroslav Prášil</v>
      </c>
      <c r="C14" s="22">
        <f>IF(M11="","",M11)</f>
        <v>0</v>
      </c>
      <c r="D14" s="23">
        <f>IF(L11="","",L11)</f>
        <v>9</v>
      </c>
      <c r="E14" s="23"/>
      <c r="F14" s="23">
        <f>IF(M12="","",M12)</f>
        <v>3</v>
      </c>
      <c r="G14" s="23">
        <f>IF(L12="","",L12)</f>
        <v>10</v>
      </c>
      <c r="H14" s="23"/>
      <c r="I14" s="23">
        <f>IF(M13="","",M13)</f>
        <v>1</v>
      </c>
      <c r="J14" s="23">
        <f>IF(L13="","",L13)</f>
        <v>10</v>
      </c>
      <c r="K14" s="23"/>
      <c r="L14" s="24"/>
      <c r="M14" s="25"/>
      <c r="N14" s="8"/>
      <c r="O14" s="195">
        <f>IF(SUM(C14:N14)=0,"",IF($C14&gt;$D14,1,0)+IF($F14&gt;$G14,1,0)+IF($I14&gt;$J14,1,0)+IF($L14&gt;$M14,1,0)+$E14+$H14+$K14+$N14)</f>
        <v>0</v>
      </c>
      <c r="P14" s="195"/>
      <c r="Q14" s="201">
        <f>IF(SUM(C14:N14)=0,"",IF(C14="",0,1)+IF(F14="",0,1)+IF(I14="",0,1)+IF(L14="",0,1))</f>
        <v>3</v>
      </c>
      <c r="R14" s="202"/>
      <c r="S14" s="13">
        <f>IF(AND(C14="",F14="",I14="",L14=""),"",N(C14)+N(F14)+N(I14)+N(L14))</f>
        <v>4</v>
      </c>
      <c r="T14" s="16">
        <f>IF(AND(D14="",G14="",J14="",M14=""),"",N(D14)+N(G14)+N(J14)+N(M14))</f>
        <v>29</v>
      </c>
      <c r="U14" s="203">
        <f>IF(Q14="","",ROUND(O14/Q14,2))</f>
        <v>0</v>
      </c>
      <c r="V14" s="200"/>
      <c r="W14" s="200">
        <f>IF(Q14="","",(S14-T14)/Q14)</f>
        <v>-8.333333333333334</v>
      </c>
      <c r="X14" s="200"/>
      <c r="Y14" s="200">
        <f>IF(Q14="","",ROUND(S14/Q14,2))</f>
        <v>1.33</v>
      </c>
      <c r="Z14" s="210"/>
      <c r="AA14" s="5">
        <f>IF(SUM(C14:N14)=0,0,U14*1000000+W14*1000+Y14)</f>
        <v>-8332.003333333334</v>
      </c>
      <c r="AB14" s="206">
        <f>IF(AA14=0,"",IF(LARGE($AA$11:$AA$14,1)=AA14,1,IF(LARGE($AA$11:$AA$14,2)=AA14,2,IF(LARGE($AA$11:$AA$14,3)=AA14,3,IF(LARGE($AA$11:$AA$14,4)=AA14,4,-1)))))</f>
        <v>4</v>
      </c>
      <c r="AC14" s="207"/>
    </row>
    <row r="15" ht="15" customHeight="1" thickBot="1"/>
    <row r="16" spans="1:29" ht="15" customHeight="1" thickBot="1">
      <c r="A16" s="235" t="s">
        <v>71</v>
      </c>
      <c r="B16" s="236"/>
      <c r="C16" s="204">
        <f>A18</f>
        <v>404</v>
      </c>
      <c r="D16" s="205"/>
      <c r="E16" s="47"/>
      <c r="F16" s="205">
        <f>A19</f>
        <v>409</v>
      </c>
      <c r="G16" s="205"/>
      <c r="H16" s="47"/>
      <c r="I16" s="205">
        <f>A20</f>
        <v>406</v>
      </c>
      <c r="J16" s="205"/>
      <c r="K16" s="47"/>
      <c r="L16" s="205">
        <f>A21</f>
        <v>410</v>
      </c>
      <c r="M16" s="232"/>
      <c r="O16" s="248" t="s">
        <v>0</v>
      </c>
      <c r="P16" s="233"/>
      <c r="Q16" s="224" t="s">
        <v>3</v>
      </c>
      <c r="R16" s="225"/>
      <c r="S16" s="248" t="s">
        <v>1</v>
      </c>
      <c r="T16" s="225"/>
      <c r="U16" s="248" t="s">
        <v>4</v>
      </c>
      <c r="V16" s="233"/>
      <c r="W16" s="224" t="s">
        <v>5</v>
      </c>
      <c r="X16" s="233"/>
      <c r="Y16" s="224" t="s">
        <v>6</v>
      </c>
      <c r="Z16" s="225"/>
      <c r="AA16" s="46"/>
      <c r="AB16" s="228" t="s">
        <v>2</v>
      </c>
      <c r="AC16" s="229"/>
    </row>
    <row r="17" spans="1:31" s="1" customFormat="1" ht="57.75" customHeight="1" thickBot="1">
      <c r="A17" s="237"/>
      <c r="B17" s="293"/>
      <c r="C17" s="217" t="str">
        <f>B18</f>
        <v>Michaela Balcová</v>
      </c>
      <c r="D17" s="218"/>
      <c r="E17" s="42" t="s">
        <v>21</v>
      </c>
      <c r="F17" s="218" t="str">
        <f>B19</f>
        <v>Silvia Petruchová</v>
      </c>
      <c r="G17" s="218"/>
      <c r="H17" s="42" t="s">
        <v>21</v>
      </c>
      <c r="I17" s="218" t="str">
        <f>B20</f>
        <v>Martin Burian</v>
      </c>
      <c r="J17" s="218"/>
      <c r="K17" s="42" t="s">
        <v>21</v>
      </c>
      <c r="L17" s="218" t="str">
        <f>B21</f>
        <v>Natália Turčínová </v>
      </c>
      <c r="M17" s="239"/>
      <c r="N17" s="9" t="s">
        <v>21</v>
      </c>
      <c r="O17" s="249"/>
      <c r="P17" s="234"/>
      <c r="Q17" s="226"/>
      <c r="R17" s="227"/>
      <c r="S17" s="249"/>
      <c r="T17" s="227"/>
      <c r="U17" s="249"/>
      <c r="V17" s="234"/>
      <c r="W17" s="226"/>
      <c r="X17" s="234"/>
      <c r="Y17" s="226"/>
      <c r="Z17" s="227"/>
      <c r="AA17" s="44"/>
      <c r="AB17" s="230"/>
      <c r="AC17" s="231"/>
      <c r="AD17" s="3"/>
      <c r="AE17" s="3"/>
    </row>
    <row r="18" spans="1:29" ht="30" customHeight="1">
      <c r="A18" s="48">
        <f>IF('zoznam hracov'!A$26="nevylosované","405",VLOOKUP("B1",'zoznam hracov'!$A$27:$C$37,2,0))</f>
        <v>404</v>
      </c>
      <c r="B18" s="61" t="str">
        <f>IF('zoznam hracov'!A$26="nevylosované","Hráč 5",VLOOKUP("B1",'zoznam hracov'!A$27:C$37,3,0))</f>
        <v>Michaela Balcová</v>
      </c>
      <c r="C18" s="17"/>
      <c r="D18" s="18"/>
      <c r="E18" s="18"/>
      <c r="F18" s="28">
        <v>3</v>
      </c>
      <c r="G18" s="28">
        <v>4</v>
      </c>
      <c r="H18" s="28"/>
      <c r="I18" s="28">
        <v>11</v>
      </c>
      <c r="J18" s="28">
        <v>1</v>
      </c>
      <c r="K18" s="28"/>
      <c r="L18" s="28">
        <v>9</v>
      </c>
      <c r="M18" s="29">
        <v>4</v>
      </c>
      <c r="N18" s="10"/>
      <c r="O18" s="208">
        <f>IF(SUM(C18:N18)=0,"",IF($C18&gt;$D18,1,0)+IF($F18&gt;$G18,1,0)+IF($I18&gt;$J18,1,0)+IF($L18&gt;$M18,1,0)+$E18+$H18+$K18+$N18)</f>
        <v>2</v>
      </c>
      <c r="P18" s="208"/>
      <c r="Q18" s="211">
        <f>IF(SUM(C18:N18)=0,"",IF(C18="",0,1)+IF(F18="",0,1)+IF(I18="",0,1)+IF(L18="",0,1))</f>
        <v>3</v>
      </c>
      <c r="R18" s="212"/>
      <c r="S18" s="11">
        <f aca="true" t="shared" si="1" ref="S18:T21">IF(AND(C18="",F18="",I18="",L18=""),"",N(C18)+N(F18)+N(I18)+N(L18))</f>
        <v>23</v>
      </c>
      <c r="T18" s="14">
        <f t="shared" si="1"/>
        <v>9</v>
      </c>
      <c r="U18" s="215">
        <f>IF(Q18="","",ROUND(O18/Q18,2))</f>
        <v>0.67</v>
      </c>
      <c r="V18" s="196"/>
      <c r="W18" s="196">
        <f>IF(Q18="","",ROUND((S18-T18)/Q18,2))</f>
        <v>4.67</v>
      </c>
      <c r="X18" s="196"/>
      <c r="Y18" s="196">
        <f>IF(Q18="","",ROUND(S18/Q18,2))</f>
        <v>7.67</v>
      </c>
      <c r="Z18" s="197"/>
      <c r="AA18" s="6">
        <f>IF(SUM(C18:N18)=0,0,U18*1000000+W18*1000+Y18)</f>
        <v>674677.67</v>
      </c>
      <c r="AB18" s="222">
        <f>IF(AA18=0,"",IF(LARGE($AA$18:$AA$21,1)=AA18,1,IF(LARGE($AA$18:$AA$21,2)=AA18,2,IF(LARGE($AA$18:$AA$21,3)=AA18,3,IF(LARGE($AA$18:$AA$21,4)=AA18,4,-1)))))</f>
        <v>2</v>
      </c>
      <c r="AC18" s="223"/>
    </row>
    <row r="19" spans="1:29" ht="30" customHeight="1">
      <c r="A19" s="49">
        <f>IF('zoznam hracov'!A$26="nevylosované","406",VLOOKUP("B2",'zoznam hracov'!$A$27:$C$37,2,0))</f>
        <v>409</v>
      </c>
      <c r="B19" s="64" t="str">
        <f>IF('zoznam hracov'!A$26="nevylosované","Hráč 6",VLOOKUP("B2",'zoznam hracov'!A$27:C$37,3,0))</f>
        <v>Silvia Petruchová</v>
      </c>
      <c r="C19" s="19">
        <f>IF(G18="","",G18)</f>
        <v>4</v>
      </c>
      <c r="D19" s="20">
        <f>IF(F18="","",F18)</f>
        <v>3</v>
      </c>
      <c r="E19" s="20"/>
      <c r="F19" s="21"/>
      <c r="G19" s="21"/>
      <c r="H19" s="21"/>
      <c r="I19" s="331">
        <v>3</v>
      </c>
      <c r="J19" s="30">
        <v>3</v>
      </c>
      <c r="K19" s="30">
        <v>1</v>
      </c>
      <c r="L19" s="30">
        <v>6</v>
      </c>
      <c r="M19" s="31">
        <v>4</v>
      </c>
      <c r="N19" s="7"/>
      <c r="O19" s="209">
        <f>IF(SUM(C19:N19)=0,"",IF($C19&gt;$D19,1,0)+IF($F19&gt;$G19,1,0)+IF($I19&gt;$J19,1,0)+IF($L19&gt;$M19,1,0)+$E19+$H19+$K19+$N19)</f>
        <v>3</v>
      </c>
      <c r="P19" s="209"/>
      <c r="Q19" s="213">
        <f>IF(SUM(C19:N19)=0,"",IF(C19="",0,1)+IF(F19="",0,1)+IF(I19="",0,1)+IF(L19="",0,1))</f>
        <v>3</v>
      </c>
      <c r="R19" s="214"/>
      <c r="S19" s="12">
        <f t="shared" si="1"/>
        <v>13</v>
      </c>
      <c r="T19" s="15">
        <f t="shared" si="1"/>
        <v>10</v>
      </c>
      <c r="U19" s="216">
        <f>IF(Q19="","",ROUND(O19/Q19,2))</f>
        <v>1</v>
      </c>
      <c r="V19" s="198"/>
      <c r="W19" s="198">
        <f>IF(Q19="","",ROUND((S19-T19)/Q19,2))</f>
        <v>1</v>
      </c>
      <c r="X19" s="198"/>
      <c r="Y19" s="198">
        <f>IF(Q19="","",ROUND(S19/Q19,2))</f>
        <v>4.33</v>
      </c>
      <c r="Z19" s="199"/>
      <c r="AA19" s="4">
        <f>IF(SUM(C19:N19)=0,0,U19*1000000+W19*1000+Y19)</f>
        <v>1001004.33</v>
      </c>
      <c r="AB19" s="329">
        <f>IF(AA19=0,"",IF(LARGE($AA$18:$AA$21,1)=AA19,1,IF(LARGE($AA$18:$AA$21,2)=AA19,2,IF(LARGE($AA$18:$AA$21,3)=AA19,3,IF(LARGE($AA$18:$AA$21,4)=AA19,4,-1)))))</f>
        <v>1</v>
      </c>
      <c r="AC19" s="330"/>
    </row>
    <row r="20" spans="1:29" ht="30" customHeight="1">
      <c r="A20" s="49">
        <f>IF('zoznam hracov'!A$26="nevylosované","407",VLOOKUP("B3",'zoznam hracov'!$A$27:$C$37,2,0))</f>
        <v>406</v>
      </c>
      <c r="B20" s="64" t="str">
        <f>IF('zoznam hracov'!A$26="nevylosované","Hráč 7",VLOOKUP("B3",'zoznam hracov'!A$27:C$37,3,0))</f>
        <v>Martin Burian</v>
      </c>
      <c r="C20" s="19">
        <f>IF(J18="","",J18)</f>
        <v>1</v>
      </c>
      <c r="D20" s="20">
        <f>IF(I18="","",I18)</f>
        <v>11</v>
      </c>
      <c r="E20" s="20"/>
      <c r="F20" s="20">
        <f>IF(J19="","",J19)</f>
        <v>3</v>
      </c>
      <c r="G20" s="336">
        <f>IF(I19="","",I19)</f>
        <v>3</v>
      </c>
      <c r="H20" s="20"/>
      <c r="I20" s="21"/>
      <c r="J20" s="21"/>
      <c r="K20" s="21"/>
      <c r="L20" s="30">
        <v>6</v>
      </c>
      <c r="M20" s="31">
        <v>5</v>
      </c>
      <c r="N20" s="7"/>
      <c r="O20" s="209">
        <f>IF(SUM(C20:N20)=0,"",IF($C20&gt;$D20,1,0)+IF($F20&gt;$G20,1,0)+IF($I20&gt;$J20,1,0)+IF($L20&gt;$M20,1,0)+$E20+$H20+$K20+$N20)</f>
        <v>1</v>
      </c>
      <c r="P20" s="209"/>
      <c r="Q20" s="213">
        <f>IF(SUM(C20:N20)=0,"",IF(C20="",0,1)+IF(F20="",0,1)+IF(I20="",0,1)+IF(L20="",0,1))</f>
        <v>3</v>
      </c>
      <c r="R20" s="214"/>
      <c r="S20" s="12">
        <f t="shared" si="1"/>
        <v>10</v>
      </c>
      <c r="T20" s="15">
        <f t="shared" si="1"/>
        <v>19</v>
      </c>
      <c r="U20" s="216">
        <f>IF(Q20="","",ROUND(O20/Q20,2))</f>
        <v>0.33</v>
      </c>
      <c r="V20" s="198"/>
      <c r="W20" s="198">
        <f>IF(Q20="","",ROUND((S20-T20)/Q20,2))</f>
        <v>-3</v>
      </c>
      <c r="X20" s="198"/>
      <c r="Y20" s="198">
        <f>IF(Q20="","",ROUND(S20/Q20,2))</f>
        <v>3.33</v>
      </c>
      <c r="Z20" s="199"/>
      <c r="AA20" s="4">
        <f>IF(SUM(C20:N20)=0,0,U20*1000000+W20*1000+Y20)</f>
        <v>327003.33</v>
      </c>
      <c r="AB20" s="220">
        <f>IF(AA20=0,"",IF(LARGE($AA$18:$AA$21,1)=AA20,1,IF(LARGE($AA$18:$AA$21,2)=AA20,2,IF(LARGE($AA$18:$AA$21,3)=AA20,3,IF(LARGE($AA$18:$AA$21,4)=AA20,4,-1)))))</f>
        <v>3</v>
      </c>
      <c r="AC20" s="221"/>
    </row>
    <row r="21" spans="1:29" ht="30" customHeight="1" thickBot="1">
      <c r="A21" s="50">
        <f>IF('zoznam hracov'!A$26="nevylosované","408",VLOOKUP("B4",'zoznam hracov'!$A$27:$C$37,2,0))</f>
        <v>410</v>
      </c>
      <c r="B21" s="65" t="str">
        <f>IF('zoznam hracov'!A$26="nevylosované","Hráč 8",VLOOKUP("B4",'zoznam hracov'!A$27:C$37,3,0))</f>
        <v>Natália Turčínová </v>
      </c>
      <c r="C21" s="22">
        <f>IF(M18="","",M18)</f>
        <v>4</v>
      </c>
      <c r="D21" s="23">
        <f>IF(L18="","",L18)</f>
        <v>9</v>
      </c>
      <c r="E21" s="23"/>
      <c r="F21" s="23">
        <f>IF(M19="","",M19)</f>
        <v>4</v>
      </c>
      <c r="G21" s="23">
        <f>IF(L19="","",L19)</f>
        <v>6</v>
      </c>
      <c r="H21" s="23"/>
      <c r="I21" s="23">
        <f>IF(M20="","",M20)</f>
        <v>5</v>
      </c>
      <c r="J21" s="23">
        <f>IF(L20="","",L20)</f>
        <v>6</v>
      </c>
      <c r="K21" s="23"/>
      <c r="L21" s="24"/>
      <c r="M21" s="25"/>
      <c r="N21" s="8"/>
      <c r="O21" s="195">
        <f>IF(SUM(C21:N21)=0,"",IF($C21&gt;$D21,1,0)+IF($F21&gt;$G21,1,0)+IF($I21&gt;$J21,1,0)+IF($L21&gt;$M21,1,0)+$E21+$H21+$K21+$N21)</f>
        <v>0</v>
      </c>
      <c r="P21" s="195"/>
      <c r="Q21" s="201">
        <f>IF(SUM(C21:N21)=0,"",IF(C21="",0,1)+IF(F21="",0,1)+IF(I21="",0,1)+IF(L21="",0,1))</f>
        <v>3</v>
      </c>
      <c r="R21" s="202"/>
      <c r="S21" s="13">
        <f t="shared" si="1"/>
        <v>13</v>
      </c>
      <c r="T21" s="16">
        <f t="shared" si="1"/>
        <v>21</v>
      </c>
      <c r="U21" s="203">
        <f>IF(Q21="","",ROUND(O21/Q21,2))</f>
        <v>0</v>
      </c>
      <c r="V21" s="200"/>
      <c r="W21" s="200">
        <f>IF(Q21="","",(S21-T21)/Q21)</f>
        <v>-2.6666666666666665</v>
      </c>
      <c r="X21" s="200"/>
      <c r="Y21" s="200">
        <f>IF(Q21="","",ROUND(S21/Q21,2))</f>
        <v>4.33</v>
      </c>
      <c r="Z21" s="210"/>
      <c r="AA21" s="5">
        <f>IF(SUM(C21:N21)=0,0,U21*1000000+W21*1000+Y21)</f>
        <v>-2662.3366666666666</v>
      </c>
      <c r="AB21" s="206">
        <f>IF(AA21=0,"",IF(LARGE($AA$18:$AA$21,1)=AA21,1,IF(LARGE($AA$18:$AA$21,2)=AA21,2,IF(LARGE($AA$18:$AA$21,3)=AA21,3,IF(LARGE($AA$18:$AA$21,4)=AA21,4,-1)))))</f>
        <v>4</v>
      </c>
      <c r="AC21" s="207"/>
    </row>
    <row r="22" ht="15" customHeight="1" thickBot="1"/>
    <row r="23" spans="1:29" ht="15" customHeight="1" thickBot="1">
      <c r="A23" s="235" t="s">
        <v>72</v>
      </c>
      <c r="B23" s="236"/>
      <c r="C23" s="204">
        <f>A25</f>
        <v>405</v>
      </c>
      <c r="D23" s="205"/>
      <c r="E23" s="47"/>
      <c r="F23" s="205">
        <f>A26</f>
        <v>402</v>
      </c>
      <c r="G23" s="205"/>
      <c r="H23" s="47"/>
      <c r="I23" s="205">
        <f>A27</f>
        <v>411</v>
      </c>
      <c r="J23" s="205"/>
      <c r="K23" s="47"/>
      <c r="L23" s="294"/>
      <c r="M23" s="295"/>
      <c r="O23" s="248" t="s">
        <v>0</v>
      </c>
      <c r="P23" s="233"/>
      <c r="Q23" s="224" t="s">
        <v>3</v>
      </c>
      <c r="R23" s="225"/>
      <c r="S23" s="248" t="s">
        <v>1</v>
      </c>
      <c r="T23" s="225"/>
      <c r="U23" s="248" t="s">
        <v>4</v>
      </c>
      <c r="V23" s="233"/>
      <c r="W23" s="224" t="s">
        <v>5</v>
      </c>
      <c r="X23" s="233"/>
      <c r="Y23" s="224" t="s">
        <v>6</v>
      </c>
      <c r="Z23" s="225"/>
      <c r="AA23" s="46"/>
      <c r="AB23" s="228" t="s">
        <v>2</v>
      </c>
      <c r="AC23" s="229"/>
    </row>
    <row r="24" spans="1:31" s="1" customFormat="1" ht="57.75" customHeight="1" thickBot="1">
      <c r="A24" s="292"/>
      <c r="B24" s="293"/>
      <c r="C24" s="217" t="str">
        <f>B25</f>
        <v>Róbert Ďurkovič</v>
      </c>
      <c r="D24" s="218"/>
      <c r="E24" s="42" t="s">
        <v>21</v>
      </c>
      <c r="F24" s="218" t="str">
        <f>B26</f>
        <v>Anna Mihová </v>
      </c>
      <c r="G24" s="218"/>
      <c r="H24" s="42" t="s">
        <v>21</v>
      </c>
      <c r="I24" s="218" t="str">
        <f>B27</f>
        <v>Martin Rybarčák</v>
      </c>
      <c r="J24" s="218"/>
      <c r="K24" s="42" t="s">
        <v>21</v>
      </c>
      <c r="L24" s="296"/>
      <c r="M24" s="297"/>
      <c r="N24" s="9" t="s">
        <v>21</v>
      </c>
      <c r="O24" s="249"/>
      <c r="P24" s="234"/>
      <c r="Q24" s="226"/>
      <c r="R24" s="227"/>
      <c r="S24" s="249"/>
      <c r="T24" s="227"/>
      <c r="U24" s="249"/>
      <c r="V24" s="234"/>
      <c r="W24" s="226"/>
      <c r="X24" s="234"/>
      <c r="Y24" s="226"/>
      <c r="Z24" s="227"/>
      <c r="AA24" s="44"/>
      <c r="AB24" s="230"/>
      <c r="AC24" s="231"/>
      <c r="AD24" s="3"/>
      <c r="AE24" s="3"/>
    </row>
    <row r="25" spans="1:29" ht="30" customHeight="1">
      <c r="A25" s="48">
        <f>IF('zoznam hracov'!A$26="nevylosované","409",VLOOKUP("C1",'zoznam hracov'!$A$27:$C$37,2,0))</f>
        <v>405</v>
      </c>
      <c r="B25" s="61" t="str">
        <f>IF('zoznam hracov'!A$26="nevylosované","Hráč 9",VLOOKUP("C1",'zoznam hracov'!A$27:C$37,3,0))</f>
        <v>Róbert Ďurkovič</v>
      </c>
      <c r="C25" s="17"/>
      <c r="D25" s="18"/>
      <c r="E25" s="18"/>
      <c r="F25" s="28">
        <v>9</v>
      </c>
      <c r="G25" s="28">
        <v>0</v>
      </c>
      <c r="H25" s="28"/>
      <c r="I25" s="28">
        <v>10</v>
      </c>
      <c r="J25" s="28">
        <v>0</v>
      </c>
      <c r="K25" s="26"/>
      <c r="L25" s="28"/>
      <c r="M25" s="29"/>
      <c r="N25" s="10"/>
      <c r="O25" s="208">
        <f>IF(SUM(C25:N25)=0,"",IF($C25&gt;$D25,1,0)+IF($F25&gt;$G25,1,0)+IF($I25&gt;$J25,1,0)+IF($L25&gt;$M25,1,0)+$E25+$H25+$K25+$N25)</f>
        <v>2</v>
      </c>
      <c r="P25" s="208"/>
      <c r="Q25" s="211">
        <f>IF(SUM(C25:N25)=0,"",IF(C25="",0,1)+IF(F25="",0,1)+IF(I25="",0,1)+IF(L25="",0,1))</f>
        <v>2</v>
      </c>
      <c r="R25" s="212"/>
      <c r="S25" s="11">
        <f aca="true" t="shared" si="2" ref="S25:T27">IF(AND(C25="",F25="",I25="",L25=""),"",N(C25)+N(F25)+N(I25)+N(L25))</f>
        <v>19</v>
      </c>
      <c r="T25" s="14">
        <f t="shared" si="2"/>
        <v>0</v>
      </c>
      <c r="U25" s="215">
        <f>IF(Q25="","",ROUND(O25/Q25,2))</f>
        <v>1</v>
      </c>
      <c r="V25" s="196"/>
      <c r="W25" s="196">
        <f>IF(Q25="","",ROUND((S25-T25)/Q25,2))</f>
        <v>9.5</v>
      </c>
      <c r="X25" s="196"/>
      <c r="Y25" s="196">
        <f>IF(Q25="","",ROUND(S25/Q25,2))</f>
        <v>9.5</v>
      </c>
      <c r="Z25" s="197"/>
      <c r="AA25" s="6">
        <f>IF(SUM(C25:N25)=0,0,U25*1000000+W25*1000+Y25)</f>
        <v>1009509.5</v>
      </c>
      <c r="AB25" s="332">
        <f>IF(AA25=0,"",IF(LARGE($AA$25:$AA$27,1)=AA25,1,IF(LARGE($AA$25:$AA$27,2)=AA25,2,IF(LARGE($AA$25:$AA$27,3)=AA25,3,-1))))</f>
        <v>1</v>
      </c>
      <c r="AC25" s="333"/>
    </row>
    <row r="26" spans="1:29" ht="30" customHeight="1">
      <c r="A26" s="49">
        <f>IF('zoznam hracov'!A$26="nevylosované","410",VLOOKUP("C2",'zoznam hracov'!$A$27:$C$37,2,0))</f>
        <v>402</v>
      </c>
      <c r="B26" s="64" t="str">
        <f>IF('zoznam hracov'!A$26="nevylosované","Hráč 10",VLOOKUP("C2",'zoznam hracov'!A$27:C$37,3,0))</f>
        <v>Anna Mihová </v>
      </c>
      <c r="C26" s="19">
        <f>IF(G25="","",G25)</f>
        <v>0</v>
      </c>
      <c r="D26" s="20">
        <f>IF(F25="","",F25)</f>
        <v>9</v>
      </c>
      <c r="E26" s="20"/>
      <c r="F26" s="21"/>
      <c r="G26" s="21"/>
      <c r="H26" s="21"/>
      <c r="I26" s="30">
        <v>0</v>
      </c>
      <c r="J26" s="30">
        <v>7</v>
      </c>
      <c r="K26" s="27"/>
      <c r="L26" s="30"/>
      <c r="M26" s="31"/>
      <c r="N26" s="7"/>
      <c r="O26" s="209">
        <f>IF(SUM(C26:N26)=0,"",IF($C26&gt;$D26,1,0)+IF($F26&gt;$G26,1,0)+IF($I26&gt;$J26,1,0)+IF($L26&gt;$M26,1,0)+$E26+$H26+$K26+$N26)</f>
        <v>0</v>
      </c>
      <c r="P26" s="209"/>
      <c r="Q26" s="213">
        <f>IF(SUM(C26:N26)=0,"",IF(C26="",0,1)+IF(F26="",0,1)+IF(I26="",0,1)+IF(L26="",0,1))</f>
        <v>2</v>
      </c>
      <c r="R26" s="214"/>
      <c r="S26" s="12">
        <f t="shared" si="2"/>
        <v>0</v>
      </c>
      <c r="T26" s="15">
        <f t="shared" si="2"/>
        <v>16</v>
      </c>
      <c r="U26" s="216">
        <f>IF(Q26="","",ROUND(O26/Q26,2))</f>
        <v>0</v>
      </c>
      <c r="V26" s="198"/>
      <c r="W26" s="198">
        <f>IF(Q26="","",ROUND((S26-T26)/Q26,2))</f>
        <v>-8</v>
      </c>
      <c r="X26" s="198"/>
      <c r="Y26" s="198">
        <f>IF(Q26="","",ROUND(S26/Q26,2))</f>
        <v>0</v>
      </c>
      <c r="Z26" s="199"/>
      <c r="AA26" s="4">
        <f>IF(SUM(C26:N26)=0,0,U26*1000000+W26*1000+Y26)</f>
        <v>-8000</v>
      </c>
      <c r="AB26" s="220">
        <f>IF(AA26=0,"",IF(LARGE($AA$25:$AA$27,1)=AA26,1,IF(LARGE($AA$25:$AA$27,2)=AA26,2,IF(LARGE($AA$25:$AA$27,3)=AA26,3,-1))))</f>
        <v>3</v>
      </c>
      <c r="AC26" s="221"/>
    </row>
    <row r="27" spans="1:29" ht="30" customHeight="1" thickBot="1">
      <c r="A27" s="50">
        <f>IF('zoznam hracov'!A$26="nevylosované","411",VLOOKUP("C3",'zoznam hracov'!$A$27:$C$37,2,0))</f>
        <v>411</v>
      </c>
      <c r="B27" s="65" t="str">
        <f>IF('zoznam hracov'!A$26="nevylosované","Hráč 11",VLOOKUP("C3",'zoznam hracov'!A$27:C$37,3,0))</f>
        <v>Martin Rybarčák</v>
      </c>
      <c r="C27" s="22">
        <f>IF(J25="","",J25)</f>
        <v>0</v>
      </c>
      <c r="D27" s="23">
        <f>IF(I25="","",I25)</f>
        <v>10</v>
      </c>
      <c r="E27" s="23"/>
      <c r="F27" s="23">
        <f>IF(J26="","",J26)</f>
        <v>7</v>
      </c>
      <c r="G27" s="23">
        <f>IF(I26="","",I26)</f>
        <v>0</v>
      </c>
      <c r="H27" s="23"/>
      <c r="I27" s="24"/>
      <c r="J27" s="24"/>
      <c r="K27" s="24"/>
      <c r="L27" s="32"/>
      <c r="M27" s="41"/>
      <c r="N27" s="40"/>
      <c r="O27" s="195">
        <f>IF(SUM(C27:N27)=0,"",IF($C27&gt;$D27,1,0)+IF($F27&gt;$G27,1,0)+IF($I27&gt;$J27,1,0)+IF($L27&gt;$M27,1,0)+$E27+$H27+$K27+$N27)</f>
        <v>1</v>
      </c>
      <c r="P27" s="195"/>
      <c r="Q27" s="201">
        <f>IF(SUM(C27:N27)=0,"",IF(C27="",0,1)+IF(F27="",0,1)+IF(I27="",0,1)+IF(L27="",0,1))</f>
        <v>2</v>
      </c>
      <c r="R27" s="202"/>
      <c r="S27" s="13">
        <f t="shared" si="2"/>
        <v>7</v>
      </c>
      <c r="T27" s="16">
        <f t="shared" si="2"/>
        <v>10</v>
      </c>
      <c r="U27" s="203">
        <f>IF(Q27="","",ROUND(O27/Q27,2))</f>
        <v>0.5</v>
      </c>
      <c r="V27" s="200"/>
      <c r="W27" s="200">
        <f>IF(Q27="","",ROUND((S27-T27)/Q27,2))</f>
        <v>-1.5</v>
      </c>
      <c r="X27" s="200"/>
      <c r="Y27" s="200">
        <f>IF(Q27="","",ROUND(S27/Q27,2))</f>
        <v>3.5</v>
      </c>
      <c r="Z27" s="210"/>
      <c r="AA27" s="5">
        <f>IF(SUM(C27:N27)=0,0,U27*1000000+W27*1000+Y27)</f>
        <v>498503.5</v>
      </c>
      <c r="AB27" s="206">
        <f>IF(AA27=0,"",IF(LARGE($AA$25:$AA$27,1)=AA27,1,IF(LARGE($AA$25:$AA$27,2)=AA27,2,IF(LARGE($AA$25:$AA$27,3)=AA27,3,-1))))</f>
        <v>2</v>
      </c>
      <c r="AC27" s="207"/>
    </row>
    <row r="28" spans="1:29" ht="30" customHeight="1">
      <c r="A28" s="241" t="s">
        <v>106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</row>
  </sheetData>
  <sheetProtection/>
  <mergeCells count="128">
    <mergeCell ref="AB23:AC24"/>
    <mergeCell ref="S16:T17"/>
    <mergeCell ref="U16:V17"/>
    <mergeCell ref="A28:AC28"/>
    <mergeCell ref="O23:P24"/>
    <mergeCell ref="Q23:R24"/>
    <mergeCell ref="S23:T24"/>
    <mergeCell ref="U23:V24"/>
    <mergeCell ref="W23:X24"/>
    <mergeCell ref="Y23:Z24"/>
    <mergeCell ref="U9:V10"/>
    <mergeCell ref="W9:X10"/>
    <mergeCell ref="C9:D9"/>
    <mergeCell ref="F9:G9"/>
    <mergeCell ref="I9:J9"/>
    <mergeCell ref="L9:M9"/>
    <mergeCell ref="C23:D23"/>
    <mergeCell ref="F23:G23"/>
    <mergeCell ref="I23:J23"/>
    <mergeCell ref="A23:B24"/>
    <mergeCell ref="A16:B17"/>
    <mergeCell ref="L23:M24"/>
    <mergeCell ref="C16:D16"/>
    <mergeCell ref="F16:G16"/>
    <mergeCell ref="I16:J16"/>
    <mergeCell ref="L16:M16"/>
    <mergeCell ref="A1:E1"/>
    <mergeCell ref="A2:E2"/>
    <mergeCell ref="A3:E3"/>
    <mergeCell ref="F1:AC1"/>
    <mergeCell ref="F2:AC2"/>
    <mergeCell ref="F3:AC3"/>
    <mergeCell ref="A4:E4"/>
    <mergeCell ref="A5:E5"/>
    <mergeCell ref="A6:E6"/>
    <mergeCell ref="F4:AC4"/>
    <mergeCell ref="F5:AC5"/>
    <mergeCell ref="F6:AC6"/>
    <mergeCell ref="A7:E7"/>
    <mergeCell ref="C10:D10"/>
    <mergeCell ref="F10:G10"/>
    <mergeCell ref="I10:J10"/>
    <mergeCell ref="L10:M10"/>
    <mergeCell ref="F7:AC7"/>
    <mergeCell ref="A9:B10"/>
    <mergeCell ref="O9:P10"/>
    <mergeCell ref="Q9:R10"/>
    <mergeCell ref="S9:T10"/>
    <mergeCell ref="O11:P11"/>
    <mergeCell ref="Q11:R11"/>
    <mergeCell ref="U11:V11"/>
    <mergeCell ref="W11:X11"/>
    <mergeCell ref="Y11:Z11"/>
    <mergeCell ref="Y12:Z12"/>
    <mergeCell ref="O12:P12"/>
    <mergeCell ref="W12:X12"/>
    <mergeCell ref="AB12:AC12"/>
    <mergeCell ref="Y9:Z10"/>
    <mergeCell ref="AB9:AC10"/>
    <mergeCell ref="Q13:R13"/>
    <mergeCell ref="U13:V13"/>
    <mergeCell ref="W13:X13"/>
    <mergeCell ref="Y13:Z13"/>
    <mergeCell ref="AB11:AC11"/>
    <mergeCell ref="Q12:R12"/>
    <mergeCell ref="U12:V12"/>
    <mergeCell ref="AB13:AC13"/>
    <mergeCell ref="O14:P14"/>
    <mergeCell ref="Q14:R14"/>
    <mergeCell ref="U14:V14"/>
    <mergeCell ref="W14:X14"/>
    <mergeCell ref="Y14:Z14"/>
    <mergeCell ref="AB14:AC14"/>
    <mergeCell ref="O13:P13"/>
    <mergeCell ref="C17:D17"/>
    <mergeCell ref="F17:G17"/>
    <mergeCell ref="I17:J17"/>
    <mergeCell ref="L17:M17"/>
    <mergeCell ref="O16:P17"/>
    <mergeCell ref="Q16:R17"/>
    <mergeCell ref="W16:X17"/>
    <mergeCell ref="Y19:Z19"/>
    <mergeCell ref="AB19:AC19"/>
    <mergeCell ref="O18:P18"/>
    <mergeCell ref="Q18:R18"/>
    <mergeCell ref="U18:V18"/>
    <mergeCell ref="W18:X18"/>
    <mergeCell ref="Y18:Z18"/>
    <mergeCell ref="Y16:Z17"/>
    <mergeCell ref="AB16:AC17"/>
    <mergeCell ref="Q20:R20"/>
    <mergeCell ref="U20:V20"/>
    <mergeCell ref="W20:X20"/>
    <mergeCell ref="Y20:Z20"/>
    <mergeCell ref="AB18:AC18"/>
    <mergeCell ref="O19:P19"/>
    <mergeCell ref="Q19:R19"/>
    <mergeCell ref="U19:V19"/>
    <mergeCell ref="W19:X19"/>
    <mergeCell ref="AB20:AC20"/>
    <mergeCell ref="O21:P21"/>
    <mergeCell ref="Q21:R21"/>
    <mergeCell ref="U21:V21"/>
    <mergeCell ref="W21:X21"/>
    <mergeCell ref="Y21:Z21"/>
    <mergeCell ref="AB21:AC21"/>
    <mergeCell ref="O20:P20"/>
    <mergeCell ref="Y25:Z25"/>
    <mergeCell ref="Y26:Z26"/>
    <mergeCell ref="C24:D24"/>
    <mergeCell ref="F24:G24"/>
    <mergeCell ref="I24:J24"/>
    <mergeCell ref="O26:P26"/>
    <mergeCell ref="Q26:R26"/>
    <mergeCell ref="U26:V26"/>
    <mergeCell ref="W26:X26"/>
    <mergeCell ref="O25:P25"/>
    <mergeCell ref="Q25:R25"/>
    <mergeCell ref="U25:V25"/>
    <mergeCell ref="W25:X25"/>
    <mergeCell ref="AB25:AC25"/>
    <mergeCell ref="AB26:AC26"/>
    <mergeCell ref="O27:P27"/>
    <mergeCell ref="Q27:R27"/>
    <mergeCell ref="U27:V27"/>
    <mergeCell ref="W27:X27"/>
    <mergeCell ref="AB27:AC27"/>
    <mergeCell ref="Y27:Z27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CW88"/>
  <sheetViews>
    <sheetView zoomScale="170" zoomScaleNormal="170" zoomScalePageLayoutView="0" workbookViewId="0" topLeftCell="M6">
      <selection activeCell="BD28" sqref="BD28"/>
    </sheetView>
  </sheetViews>
  <sheetFormatPr defaultColWidth="9.140625" defaultRowHeight="3.75" customHeight="1"/>
  <cols>
    <col min="1" max="1" width="1.7109375" style="66" customWidth="1"/>
    <col min="2" max="2" width="7.140625" style="66" customWidth="1"/>
    <col min="3" max="20" width="1.7109375" style="66" customWidth="1"/>
    <col min="21" max="21" width="5.421875" style="66" customWidth="1"/>
    <col min="22" max="39" width="1.7109375" style="66" customWidth="1"/>
    <col min="40" max="40" width="9.7109375" style="66" customWidth="1"/>
    <col min="41" max="48" width="1.7109375" style="66" customWidth="1"/>
    <col min="49" max="49" width="2.28125" style="66" customWidth="1"/>
    <col min="50" max="159" width="1.7109375" style="66" customWidth="1"/>
    <col min="160" max="16384" width="9.140625" style="66" customWidth="1"/>
  </cols>
  <sheetData>
    <row r="1" spans="8:86" ht="3.75" customHeight="1"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5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</row>
    <row r="2" spans="8:86" ht="3.75" customHeight="1"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5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</row>
    <row r="3" spans="2:86" ht="3.75" customHeight="1">
      <c r="B3" s="256" t="s">
        <v>92</v>
      </c>
      <c r="C3" s="256"/>
      <c r="D3" s="256"/>
      <c r="E3" s="256"/>
      <c r="F3" s="256"/>
      <c r="G3" s="256"/>
      <c r="H3" s="256"/>
      <c r="I3" s="256"/>
      <c r="J3" s="283" t="s">
        <v>81</v>
      </c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5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</row>
    <row r="4" spans="2:86" ht="3.75" customHeight="1">
      <c r="B4" s="256"/>
      <c r="C4" s="256"/>
      <c r="D4" s="256"/>
      <c r="E4" s="256"/>
      <c r="F4" s="256"/>
      <c r="G4" s="256"/>
      <c r="H4" s="256"/>
      <c r="I4" s="256"/>
      <c r="J4" s="286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8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</row>
    <row r="5" spans="2:86" ht="3.75" customHeight="1">
      <c r="B5" s="256"/>
      <c r="C5" s="256"/>
      <c r="D5" s="256"/>
      <c r="E5" s="256"/>
      <c r="F5" s="256"/>
      <c r="G5" s="256"/>
      <c r="H5" s="256"/>
      <c r="I5" s="256"/>
      <c r="J5" s="286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8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</row>
    <row r="6" spans="2:86" ht="3.75" customHeight="1">
      <c r="B6" s="256"/>
      <c r="C6" s="256"/>
      <c r="D6" s="256"/>
      <c r="E6" s="256"/>
      <c r="F6" s="256"/>
      <c r="G6" s="256"/>
      <c r="H6" s="256"/>
      <c r="I6" s="256"/>
      <c r="J6" s="289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</row>
    <row r="7" spans="8:86" ht="3.75" customHeight="1">
      <c r="H7" s="101"/>
      <c r="I7" s="101"/>
      <c r="J7" s="101"/>
      <c r="K7" s="101"/>
      <c r="L7" s="101"/>
      <c r="M7" s="101"/>
      <c r="N7" s="101"/>
      <c r="O7" s="101"/>
      <c r="P7" s="101"/>
      <c r="Q7" s="74"/>
      <c r="R7" s="74"/>
      <c r="S7" s="74"/>
      <c r="T7" s="74"/>
      <c r="U7" s="74"/>
      <c r="V7" s="74"/>
      <c r="W7" s="74"/>
      <c r="X7" s="7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</row>
    <row r="8" spans="26:101" ht="3.75" customHeight="1"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BM8" s="101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74"/>
      <c r="CH8" s="74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67"/>
      <c r="CT8" s="67"/>
      <c r="CU8" s="67"/>
      <c r="CV8" s="67"/>
      <c r="CW8" s="67"/>
    </row>
    <row r="9" spans="7:101" ht="3.75" customHeight="1"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276" t="s">
        <v>91</v>
      </c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69"/>
      <c r="BA9" s="69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74"/>
      <c r="CH9" s="74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67"/>
      <c r="CT9" s="67"/>
      <c r="CU9" s="67"/>
      <c r="CV9" s="67"/>
      <c r="CW9" s="67"/>
    </row>
    <row r="10" spans="7:101" ht="3.75" customHeight="1"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69"/>
      <c r="BA10" s="69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74"/>
      <c r="CH10" s="74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67"/>
      <c r="CT10" s="67"/>
      <c r="CU10" s="67"/>
      <c r="CV10" s="67"/>
      <c r="CW10" s="67"/>
    </row>
    <row r="11" spans="7:101" ht="3.75" customHeight="1"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69"/>
      <c r="BA11" s="69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74"/>
      <c r="CH11" s="74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67"/>
      <c r="CT11" s="67"/>
      <c r="CU11" s="67"/>
      <c r="CV11" s="67"/>
      <c r="CW11" s="67"/>
    </row>
    <row r="12" spans="7:101" ht="3.75" customHeight="1"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69"/>
      <c r="BA12" s="69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67"/>
      <c r="CT12" s="67"/>
      <c r="CU12" s="67"/>
      <c r="CV12" s="67"/>
      <c r="CW12" s="67"/>
    </row>
    <row r="13" spans="7:101" ht="3.75" customHeight="1"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69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69"/>
      <c r="BA13" s="69"/>
      <c r="BB13" s="83"/>
      <c r="BC13" s="82"/>
      <c r="BD13" s="68"/>
      <c r="BE13" s="68"/>
      <c r="BF13" s="68"/>
      <c r="BG13" s="68"/>
      <c r="BH13" s="68"/>
      <c r="BI13" s="68"/>
      <c r="BJ13" s="68"/>
      <c r="BK13" s="68"/>
      <c r="BL13" s="69"/>
      <c r="BM13" s="69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67"/>
      <c r="CT13" s="67"/>
      <c r="CU13" s="67"/>
      <c r="CV13" s="67"/>
      <c r="CW13" s="67"/>
    </row>
    <row r="14" spans="7:101" ht="3.75" customHeight="1"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69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69"/>
      <c r="BA14" s="69"/>
      <c r="BB14" s="282" t="s">
        <v>34</v>
      </c>
      <c r="BC14" s="282"/>
      <c r="BD14" s="271" t="str">
        <f>AO27</f>
        <v>Samuel Andrejčík</v>
      </c>
      <c r="BE14" s="271"/>
      <c r="BF14" s="271"/>
      <c r="BG14" s="271"/>
      <c r="BH14" s="271"/>
      <c r="BI14" s="271"/>
      <c r="BJ14" s="271"/>
      <c r="BK14" s="271"/>
      <c r="BL14" s="271"/>
      <c r="BM14" s="271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67"/>
      <c r="CT14" s="67"/>
      <c r="CU14" s="67"/>
      <c r="CV14" s="67"/>
      <c r="CW14" s="67"/>
    </row>
    <row r="15" spans="7:101" ht="3.75" customHeight="1"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69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69"/>
      <c r="BA15" s="69"/>
      <c r="BB15" s="282"/>
      <c r="BC15" s="282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67"/>
      <c r="CT15" s="67"/>
      <c r="CU15" s="67"/>
      <c r="CV15" s="67"/>
      <c r="CW15" s="67"/>
    </row>
    <row r="16" spans="7:101" ht="3.75" customHeight="1"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69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69"/>
      <c r="BA16" s="69"/>
      <c r="BB16" s="282"/>
      <c r="BC16" s="282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67"/>
      <c r="CT16" s="67"/>
      <c r="CU16" s="67"/>
      <c r="CV16" s="67"/>
      <c r="CW16" s="67"/>
    </row>
    <row r="17" spans="7:101" ht="3.75" customHeight="1"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69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69"/>
      <c r="BA17" s="69"/>
      <c r="BB17" s="282"/>
      <c r="BC17" s="282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67"/>
      <c r="CT17" s="67"/>
      <c r="CU17" s="67"/>
      <c r="CV17" s="67"/>
      <c r="CW17" s="67"/>
    </row>
    <row r="18" spans="1:101" ht="3.75" customHeight="1">
      <c r="A18" s="80"/>
      <c r="B18" s="80"/>
      <c r="C18" s="80"/>
      <c r="D18" s="88"/>
      <c r="E18" s="88"/>
      <c r="F18" s="88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87"/>
      <c r="W18" s="87"/>
      <c r="X18" s="68"/>
      <c r="Y18" s="68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69"/>
      <c r="BA18" s="69"/>
      <c r="BB18" s="70"/>
      <c r="BC18" s="82"/>
      <c r="BD18" s="83"/>
      <c r="BE18" s="83"/>
      <c r="BF18" s="83"/>
      <c r="BG18" s="83"/>
      <c r="BH18" s="83"/>
      <c r="BI18" s="83"/>
      <c r="BJ18" s="83"/>
      <c r="BK18" s="83"/>
      <c r="BL18" s="69"/>
      <c r="BM18" s="69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67"/>
      <c r="CT18" s="67"/>
      <c r="CU18" s="67"/>
      <c r="CV18" s="67"/>
      <c r="CW18" s="67"/>
    </row>
    <row r="19" spans="1:101" ht="3.75" customHeight="1">
      <c r="A19" s="80"/>
      <c r="B19" s="80"/>
      <c r="C19" s="80"/>
      <c r="D19" s="88"/>
      <c r="E19" s="88"/>
      <c r="F19" s="88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87"/>
      <c r="W19" s="87"/>
      <c r="X19" s="68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69"/>
      <c r="BA19" s="69"/>
      <c r="BB19" s="282" t="s">
        <v>37</v>
      </c>
      <c r="BC19" s="282"/>
      <c r="BD19" s="271" t="str">
        <f>AO51</f>
        <v>Martin Strehársky</v>
      </c>
      <c r="BE19" s="271"/>
      <c r="BF19" s="271"/>
      <c r="BG19" s="271"/>
      <c r="BH19" s="271"/>
      <c r="BI19" s="271"/>
      <c r="BJ19" s="271"/>
      <c r="BK19" s="271"/>
      <c r="BL19" s="271"/>
      <c r="BM19" s="271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67"/>
      <c r="CT19" s="67"/>
      <c r="CU19" s="67"/>
      <c r="CV19" s="67"/>
      <c r="CW19" s="67"/>
    </row>
    <row r="20" spans="1:101" ht="3.75" customHeight="1">
      <c r="A20" s="80"/>
      <c r="B20" s="80"/>
      <c r="C20" s="80"/>
      <c r="D20" s="88"/>
      <c r="E20" s="88"/>
      <c r="F20" s="88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87"/>
      <c r="W20" s="87"/>
      <c r="X20" s="70"/>
      <c r="Y20" s="68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4"/>
      <c r="AL20" s="82"/>
      <c r="AM20" s="82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82"/>
      <c r="BA20" s="69"/>
      <c r="BB20" s="282"/>
      <c r="BC20" s="282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67"/>
      <c r="CT20" s="67"/>
      <c r="CU20" s="67"/>
      <c r="CV20" s="67"/>
      <c r="CW20" s="67"/>
    </row>
    <row r="21" spans="1:101" ht="3.75" customHeight="1">
      <c r="A21" s="80"/>
      <c r="B21" s="80"/>
      <c r="C21" s="80"/>
      <c r="D21" s="88"/>
      <c r="E21" s="88"/>
      <c r="F21" s="88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271" t="s">
        <v>90</v>
      </c>
      <c r="W21" s="271"/>
      <c r="X21" s="271"/>
      <c r="Y21" s="271"/>
      <c r="Z21" s="271" t="str">
        <f>'BC4'!B11</f>
        <v>Samuel Andrejčík</v>
      </c>
      <c r="AA21" s="271"/>
      <c r="AB21" s="271"/>
      <c r="AC21" s="271"/>
      <c r="AD21" s="271"/>
      <c r="AE21" s="271"/>
      <c r="AF21" s="271"/>
      <c r="AG21" s="271"/>
      <c r="AH21" s="271"/>
      <c r="AI21" s="271"/>
      <c r="AJ21" s="258">
        <v>6</v>
      </c>
      <c r="AK21" s="258"/>
      <c r="AL21" s="82"/>
      <c r="AM21" s="82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82"/>
      <c r="BA21" s="69"/>
      <c r="BB21" s="282"/>
      <c r="BC21" s="282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67"/>
      <c r="CT21" s="67"/>
      <c r="CU21" s="67"/>
      <c r="CV21" s="67"/>
      <c r="CW21" s="67"/>
    </row>
    <row r="22" spans="1:101" ht="3.75" customHeight="1">
      <c r="A22" s="97"/>
      <c r="B22" s="67"/>
      <c r="C22" s="67"/>
      <c r="D22" s="67"/>
      <c r="E22" s="67"/>
      <c r="F22" s="67"/>
      <c r="G22" s="68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68"/>
      <c r="S22" s="68"/>
      <c r="T22" s="68"/>
      <c r="U22" s="68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58"/>
      <c r="AK22" s="258"/>
      <c r="AL22" s="102"/>
      <c r="AM22" s="82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82"/>
      <c r="BA22" s="69"/>
      <c r="BB22" s="282"/>
      <c r="BC22" s="282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67"/>
      <c r="CT22" s="67"/>
      <c r="CU22" s="67"/>
      <c r="CV22" s="67"/>
      <c r="CW22" s="67"/>
    </row>
    <row r="23" spans="1:101" ht="3.75" customHeight="1">
      <c r="A23" s="97"/>
      <c r="B23" s="67"/>
      <c r="C23" s="67"/>
      <c r="D23" s="67"/>
      <c r="E23" s="67"/>
      <c r="F23" s="67"/>
      <c r="G23" s="68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68"/>
      <c r="S23" s="68"/>
      <c r="T23" s="68"/>
      <c r="U23" s="68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58"/>
      <c r="AK23" s="258"/>
      <c r="AL23" s="269"/>
      <c r="AM23" s="82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82"/>
      <c r="BA23" s="69"/>
      <c r="BB23" s="69"/>
      <c r="BC23" s="82"/>
      <c r="BD23" s="83"/>
      <c r="BE23" s="83"/>
      <c r="BF23" s="83"/>
      <c r="BG23" s="83"/>
      <c r="BH23" s="83"/>
      <c r="BI23" s="83"/>
      <c r="BJ23" s="83"/>
      <c r="BK23" s="83"/>
      <c r="BL23" s="69"/>
      <c r="BM23" s="69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67"/>
      <c r="CT23" s="67"/>
      <c r="CU23" s="67"/>
      <c r="CV23" s="67"/>
      <c r="CW23" s="67"/>
    </row>
    <row r="24" spans="1:101" ht="3.75" customHeight="1">
      <c r="A24" s="80"/>
      <c r="B24" s="80"/>
      <c r="C24" s="80"/>
      <c r="D24" s="88"/>
      <c r="E24" s="88"/>
      <c r="F24" s="88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58"/>
      <c r="AK24" s="258"/>
      <c r="AL24" s="269"/>
      <c r="AM24" s="82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82"/>
      <c r="BA24" s="69"/>
      <c r="BB24" s="282" t="s">
        <v>38</v>
      </c>
      <c r="BC24" s="282"/>
      <c r="BD24" s="271" t="str">
        <f>Z79</f>
        <v>Róbert Ďurkovič</v>
      </c>
      <c r="BE24" s="271"/>
      <c r="BF24" s="271"/>
      <c r="BG24" s="271"/>
      <c r="BH24" s="271"/>
      <c r="BI24" s="271"/>
      <c r="BJ24" s="271"/>
      <c r="BK24" s="271"/>
      <c r="BL24" s="271"/>
      <c r="BM24" s="271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67"/>
      <c r="CT24" s="67"/>
      <c r="CU24" s="67"/>
      <c r="CV24" s="67"/>
      <c r="CW24" s="67"/>
    </row>
    <row r="25" spans="1:101" ht="3.75" customHeight="1">
      <c r="A25" s="80"/>
      <c r="B25" s="80"/>
      <c r="C25" s="80"/>
      <c r="D25" s="88"/>
      <c r="E25" s="88"/>
      <c r="F25" s="88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87"/>
      <c r="W25" s="87"/>
      <c r="X25" s="70"/>
      <c r="Y25" s="68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5"/>
      <c r="AK25" s="84"/>
      <c r="AL25" s="269"/>
      <c r="AM25" s="82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82"/>
      <c r="BA25" s="69"/>
      <c r="BB25" s="282"/>
      <c r="BC25" s="282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67"/>
      <c r="CT25" s="67"/>
      <c r="CU25" s="67"/>
      <c r="CV25" s="67"/>
      <c r="CW25" s="67"/>
    </row>
    <row r="26" spans="1:101" ht="3.75" customHeight="1">
      <c r="A26" s="80"/>
      <c r="B26" s="80"/>
      <c r="C26" s="80"/>
      <c r="D26" s="88"/>
      <c r="E26" s="88"/>
      <c r="F26" s="88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87"/>
      <c r="W26" s="87"/>
      <c r="X26" s="68"/>
      <c r="Y26" s="68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5"/>
      <c r="AK26" s="84"/>
      <c r="AL26" s="78"/>
      <c r="AM26" s="82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82"/>
      <c r="BA26" s="69"/>
      <c r="BB26" s="282"/>
      <c r="BC26" s="282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67"/>
      <c r="CT26" s="67"/>
      <c r="CU26" s="67"/>
      <c r="CV26" s="67"/>
      <c r="CW26" s="67"/>
    </row>
    <row r="27" spans="1:101" ht="3.75" customHeight="1">
      <c r="A27" s="80"/>
      <c r="B27" s="80"/>
      <c r="C27" s="80"/>
      <c r="D27" s="88"/>
      <c r="E27" s="88"/>
      <c r="F27" s="88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87"/>
      <c r="W27" s="87"/>
      <c r="X27" s="68"/>
      <c r="Y27" s="68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5"/>
      <c r="AK27" s="84"/>
      <c r="AL27" s="78"/>
      <c r="AM27" s="82"/>
      <c r="AN27" s="255" t="s">
        <v>94</v>
      </c>
      <c r="AO27" s="255" t="str">
        <f>Z21</f>
        <v>Samuel Andrejčík</v>
      </c>
      <c r="AP27" s="255"/>
      <c r="AQ27" s="255"/>
      <c r="AR27" s="255"/>
      <c r="AS27" s="255"/>
      <c r="AT27" s="255"/>
      <c r="AU27" s="255"/>
      <c r="AV27" s="255"/>
      <c r="AW27" s="255"/>
      <c r="AX27" s="298">
        <v>5</v>
      </c>
      <c r="AY27" s="270"/>
      <c r="AZ27" s="82"/>
      <c r="BA27" s="69"/>
      <c r="BB27" s="282"/>
      <c r="BC27" s="282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67"/>
      <c r="CT27" s="67"/>
      <c r="CU27" s="67"/>
      <c r="CV27" s="67"/>
      <c r="CW27" s="67"/>
    </row>
    <row r="28" spans="1:101" ht="3.75" customHeight="1">
      <c r="A28" s="97"/>
      <c r="B28" s="67"/>
      <c r="C28" s="67"/>
      <c r="D28" s="67"/>
      <c r="E28" s="67"/>
      <c r="F28" s="67"/>
      <c r="G28" s="68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68"/>
      <c r="S28" s="68"/>
      <c r="T28" s="68"/>
      <c r="U28" s="68"/>
      <c r="V28" s="68"/>
      <c r="W28" s="86"/>
      <c r="X28" s="68"/>
      <c r="Y28" s="68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5"/>
      <c r="AK28" s="84"/>
      <c r="AL28" s="78"/>
      <c r="AM28" s="81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98"/>
      <c r="AY28" s="270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68"/>
      <c r="BN28" s="101"/>
      <c r="BO28" s="73"/>
      <c r="BP28" s="73"/>
      <c r="BQ28" s="73"/>
      <c r="BR28" s="73"/>
      <c r="BS28" s="73"/>
      <c r="BT28" s="73"/>
      <c r="BU28" s="73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67"/>
      <c r="CT28" s="67"/>
      <c r="CU28" s="67"/>
      <c r="CV28" s="67"/>
      <c r="CW28" s="67"/>
    </row>
    <row r="29" spans="1:101" ht="3.75" customHeight="1">
      <c r="A29" s="97"/>
      <c r="B29" s="67"/>
      <c r="C29" s="67"/>
      <c r="D29" s="67"/>
      <c r="E29" s="67"/>
      <c r="F29" s="67"/>
      <c r="G29" s="68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68"/>
      <c r="S29" s="68"/>
      <c r="T29" s="68"/>
      <c r="U29" s="68"/>
      <c r="V29" s="68"/>
      <c r="W29" s="86"/>
      <c r="X29" s="68"/>
      <c r="Y29" s="68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5"/>
      <c r="AK29" s="84"/>
      <c r="AL29" s="78"/>
      <c r="AM29" s="82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98"/>
      <c r="AY29" s="270"/>
      <c r="AZ29" s="269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68"/>
      <c r="BM29" s="70"/>
      <c r="BN29" s="80"/>
      <c r="BO29" s="80"/>
      <c r="BP29" s="80"/>
      <c r="BQ29" s="80"/>
      <c r="BR29" s="80"/>
      <c r="BS29" s="80"/>
      <c r="BT29" s="80"/>
      <c r="BU29" s="80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67"/>
      <c r="CT29" s="67"/>
      <c r="CU29" s="67"/>
      <c r="CV29" s="67"/>
      <c r="CW29" s="67"/>
    </row>
    <row r="30" spans="1:101" ht="3.75" customHeight="1">
      <c r="A30" s="80"/>
      <c r="B30" s="80"/>
      <c r="C30" s="80"/>
      <c r="D30" s="88"/>
      <c r="E30" s="88"/>
      <c r="F30" s="88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87"/>
      <c r="W30" s="87"/>
      <c r="X30" s="68"/>
      <c r="Y30" s="68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5"/>
      <c r="AK30" s="84"/>
      <c r="AL30" s="78"/>
      <c r="AM30" s="82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98"/>
      <c r="AY30" s="270"/>
      <c r="AZ30" s="269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68"/>
      <c r="BM30" s="70"/>
      <c r="BN30" s="80"/>
      <c r="BO30" s="80"/>
      <c r="BP30" s="80"/>
      <c r="BQ30" s="80"/>
      <c r="BR30" s="80"/>
      <c r="BS30" s="80"/>
      <c r="BT30" s="80"/>
      <c r="BU30" s="80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67"/>
      <c r="CT30" s="67"/>
      <c r="CU30" s="67"/>
      <c r="CV30" s="67"/>
      <c r="CW30" s="67"/>
    </row>
    <row r="31" spans="1:101" ht="3.75" customHeight="1">
      <c r="A31" s="80"/>
      <c r="B31" s="80"/>
      <c r="C31" s="80"/>
      <c r="D31" s="88"/>
      <c r="E31" s="88"/>
      <c r="F31" s="88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87"/>
      <c r="W31" s="87"/>
      <c r="X31" s="68"/>
      <c r="Y31" s="68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5"/>
      <c r="AK31" s="84"/>
      <c r="AL31" s="78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93"/>
      <c r="AY31" s="92"/>
      <c r="AZ31" s="269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68"/>
      <c r="BM31" s="7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79"/>
      <c r="CF31" s="79"/>
      <c r="CG31" s="74"/>
      <c r="CH31" s="74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67"/>
      <c r="CT31" s="67"/>
      <c r="CU31" s="67"/>
      <c r="CV31" s="67"/>
      <c r="CW31" s="67"/>
    </row>
    <row r="32" spans="1:101" ht="3.75" customHeight="1">
      <c r="A32" s="80"/>
      <c r="B32" s="80"/>
      <c r="C32" s="80"/>
      <c r="D32" s="88"/>
      <c r="E32" s="88"/>
      <c r="F32" s="88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87"/>
      <c r="W32" s="87"/>
      <c r="X32" s="70"/>
      <c r="Y32" s="68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5"/>
      <c r="AK32" s="84"/>
      <c r="AL32" s="257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93"/>
      <c r="AY32" s="92"/>
      <c r="AZ32" s="78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68"/>
      <c r="BM32" s="68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79"/>
      <c r="CF32" s="79"/>
      <c r="CG32" s="74"/>
      <c r="CH32" s="74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67"/>
      <c r="CT32" s="67"/>
      <c r="CU32" s="67"/>
      <c r="CV32" s="67"/>
      <c r="CW32" s="67"/>
    </row>
    <row r="33" spans="1:101" ht="3.75" customHeight="1">
      <c r="A33" s="80"/>
      <c r="B33" s="80"/>
      <c r="C33" s="80"/>
      <c r="D33" s="88"/>
      <c r="E33" s="88"/>
      <c r="F33" s="88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271" t="s">
        <v>88</v>
      </c>
      <c r="W33" s="271"/>
      <c r="X33" s="271"/>
      <c r="Y33" s="271"/>
      <c r="Z33" s="271" t="str">
        <f>'BC4'!B19</f>
        <v>Silvia Petruchová</v>
      </c>
      <c r="AA33" s="271"/>
      <c r="AB33" s="271"/>
      <c r="AC33" s="271"/>
      <c r="AD33" s="271"/>
      <c r="AE33" s="271"/>
      <c r="AF33" s="271"/>
      <c r="AG33" s="271"/>
      <c r="AH33" s="271"/>
      <c r="AI33" s="271"/>
      <c r="AJ33" s="281">
        <v>2</v>
      </c>
      <c r="AK33" s="281"/>
      <c r="AL33" s="257"/>
      <c r="AM33" s="82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96"/>
      <c r="AY33" s="96"/>
      <c r="AZ33" s="78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68"/>
      <c r="BN33" s="74"/>
      <c r="BO33" s="73"/>
      <c r="BP33" s="73"/>
      <c r="BQ33" s="73"/>
      <c r="BR33" s="73"/>
      <c r="BS33" s="73"/>
      <c r="BT33" s="73"/>
      <c r="BU33" s="73"/>
      <c r="BV33" s="80"/>
      <c r="BW33" s="80"/>
      <c r="BX33" s="80"/>
      <c r="BY33" s="80"/>
      <c r="BZ33" s="80"/>
      <c r="CA33" s="80"/>
      <c r="CB33" s="80"/>
      <c r="CC33" s="80"/>
      <c r="CD33" s="80"/>
      <c r="CE33" s="79"/>
      <c r="CF33" s="79"/>
      <c r="CG33" s="80"/>
      <c r="CH33" s="74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67"/>
      <c r="CT33" s="67"/>
      <c r="CU33" s="67"/>
      <c r="CV33" s="67"/>
      <c r="CW33" s="67"/>
    </row>
    <row r="34" spans="1:101" ht="3.75" customHeight="1">
      <c r="A34" s="97"/>
      <c r="B34" s="67"/>
      <c r="C34" s="67"/>
      <c r="D34" s="67"/>
      <c r="E34" s="67"/>
      <c r="F34" s="67"/>
      <c r="G34" s="68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68"/>
      <c r="S34" s="68"/>
      <c r="T34" s="68"/>
      <c r="U34" s="68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81"/>
      <c r="AK34" s="281"/>
      <c r="AL34" s="257"/>
      <c r="AM34" s="82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96"/>
      <c r="AY34" s="96"/>
      <c r="AZ34" s="78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68"/>
      <c r="BN34" s="74"/>
      <c r="BO34" s="73"/>
      <c r="BP34" s="73"/>
      <c r="BQ34" s="73"/>
      <c r="BR34" s="73"/>
      <c r="BS34" s="73"/>
      <c r="BT34" s="73"/>
      <c r="BU34" s="73"/>
      <c r="BV34" s="80"/>
      <c r="BW34" s="80"/>
      <c r="BX34" s="80"/>
      <c r="BY34" s="80"/>
      <c r="BZ34" s="80"/>
      <c r="CA34" s="80"/>
      <c r="CB34" s="80"/>
      <c r="CC34" s="80"/>
      <c r="CD34" s="80"/>
      <c r="CE34" s="79"/>
      <c r="CF34" s="79"/>
      <c r="CG34" s="80"/>
      <c r="CH34" s="74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67"/>
      <c r="CT34" s="67"/>
      <c r="CU34" s="67"/>
      <c r="CV34" s="67"/>
      <c r="CW34" s="67"/>
    </row>
    <row r="35" spans="1:101" ht="3.75" customHeight="1">
      <c r="A35" s="97"/>
      <c r="B35" s="67"/>
      <c r="C35" s="67"/>
      <c r="D35" s="67"/>
      <c r="E35" s="67"/>
      <c r="F35" s="67"/>
      <c r="G35" s="68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68"/>
      <c r="S35" s="68"/>
      <c r="T35" s="68"/>
      <c r="U35" s="68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81"/>
      <c r="AK35" s="281"/>
      <c r="AL35" s="89"/>
      <c r="AM35" s="9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96"/>
      <c r="AY35" s="96"/>
      <c r="AZ35" s="98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68"/>
      <c r="BN35" s="74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5"/>
      <c r="CG35" s="80"/>
      <c r="CH35" s="74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67"/>
      <c r="CT35" s="67"/>
      <c r="CU35" s="67"/>
      <c r="CV35" s="67"/>
      <c r="CW35" s="67"/>
    </row>
    <row r="36" spans="1:101" ht="3.75" customHeight="1">
      <c r="A36" s="80"/>
      <c r="B36" s="80"/>
      <c r="C36" s="80"/>
      <c r="D36" s="88"/>
      <c r="E36" s="88"/>
      <c r="F36" s="88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81"/>
      <c r="AK36" s="281"/>
      <c r="AL36" s="100"/>
      <c r="AM36" s="9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96"/>
      <c r="AY36" s="96"/>
      <c r="AZ36" s="98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68"/>
      <c r="BN36" s="74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5"/>
      <c r="CG36" s="74"/>
      <c r="CH36" s="74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67"/>
      <c r="CT36" s="67"/>
      <c r="CU36" s="67"/>
      <c r="CV36" s="67"/>
      <c r="CW36" s="67"/>
    </row>
    <row r="37" spans="1:101" ht="3.75" customHeight="1">
      <c r="A37" s="80"/>
      <c r="B37" s="80"/>
      <c r="C37" s="80"/>
      <c r="D37" s="88"/>
      <c r="E37" s="88"/>
      <c r="F37" s="88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87"/>
      <c r="W37" s="87"/>
      <c r="X37" s="70"/>
      <c r="Y37" s="68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5"/>
      <c r="AK37" s="84"/>
      <c r="AL37" s="100"/>
      <c r="AM37" s="9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96"/>
      <c r="AY37" s="96"/>
      <c r="AZ37" s="98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68"/>
      <c r="BN37" s="74"/>
      <c r="BO37" s="73"/>
      <c r="BP37" s="73"/>
      <c r="BQ37" s="73"/>
      <c r="BR37" s="73"/>
      <c r="BS37" s="73"/>
      <c r="CF37" s="75"/>
      <c r="CG37" s="74"/>
      <c r="CH37" s="74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67"/>
      <c r="CT37" s="67"/>
      <c r="CU37" s="67"/>
      <c r="CV37" s="67"/>
      <c r="CW37" s="67"/>
    </row>
    <row r="38" spans="1:101" ht="3.75" customHeight="1">
      <c r="A38" s="80"/>
      <c r="B38" s="80"/>
      <c r="C38" s="80"/>
      <c r="D38" s="88"/>
      <c r="E38" s="88"/>
      <c r="F38" s="88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87"/>
      <c r="W38" s="87"/>
      <c r="X38" s="68"/>
      <c r="Y38" s="68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5"/>
      <c r="AK38" s="84"/>
      <c r="AL38" s="100"/>
      <c r="AM38" s="9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96"/>
      <c r="AY38" s="96"/>
      <c r="AZ38" s="98"/>
      <c r="BA38" s="82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74"/>
      <c r="BO38" s="73"/>
      <c r="BP38" s="73"/>
      <c r="BQ38" s="73"/>
      <c r="BR38" s="73"/>
      <c r="BS38" s="73"/>
      <c r="CF38" s="75"/>
      <c r="CG38" s="74"/>
      <c r="CH38" s="74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67"/>
      <c r="CT38" s="67"/>
      <c r="CU38" s="67"/>
      <c r="CV38" s="67"/>
      <c r="CW38" s="67"/>
    </row>
    <row r="39" spans="1:101" ht="3.75" customHeight="1">
      <c r="A39" s="80"/>
      <c r="B39" s="80"/>
      <c r="C39" s="80"/>
      <c r="D39" s="88"/>
      <c r="E39" s="88"/>
      <c r="F39" s="88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87"/>
      <c r="W39" s="87"/>
      <c r="X39" s="68"/>
      <c r="Y39" s="68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5"/>
      <c r="AK39" s="84"/>
      <c r="AL39" s="100"/>
      <c r="AM39" s="9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96"/>
      <c r="AY39" s="96"/>
      <c r="AZ39" s="98"/>
      <c r="BA39" s="82"/>
      <c r="BB39" s="258" t="str">
        <f>AO27</f>
        <v>Samuel Andrejčík</v>
      </c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74"/>
      <c r="BO39" s="73"/>
      <c r="BP39" s="73"/>
      <c r="BQ39" s="73"/>
      <c r="BR39" s="73"/>
      <c r="BS39" s="73"/>
      <c r="CF39" s="75"/>
      <c r="CG39" s="74"/>
      <c r="CH39" s="74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67"/>
      <c r="CT39" s="67"/>
      <c r="CU39" s="67"/>
      <c r="CV39" s="67"/>
      <c r="CW39" s="67"/>
    </row>
    <row r="40" spans="1:101" ht="3.75" customHeight="1">
      <c r="A40" s="97"/>
      <c r="B40" s="67"/>
      <c r="C40" s="67"/>
      <c r="D40" s="67"/>
      <c r="E40" s="67"/>
      <c r="F40" s="67"/>
      <c r="G40" s="68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68"/>
      <c r="S40" s="68"/>
      <c r="T40" s="68"/>
      <c r="U40" s="68"/>
      <c r="V40" s="68"/>
      <c r="W40" s="86"/>
      <c r="X40" s="68"/>
      <c r="Y40" s="68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5"/>
      <c r="AK40" s="84"/>
      <c r="AL40" s="100"/>
      <c r="AM40" s="9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96"/>
      <c r="AY40" s="96"/>
      <c r="AZ40" s="98"/>
      <c r="BA40" s="82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74"/>
      <c r="BO40" s="73"/>
      <c r="BP40" s="73"/>
      <c r="BQ40" s="73"/>
      <c r="BR40" s="73"/>
      <c r="BS40" s="73"/>
      <c r="CF40" s="75"/>
      <c r="CG40" s="74"/>
      <c r="CH40" s="74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67"/>
      <c r="CT40" s="67"/>
      <c r="CU40" s="67"/>
      <c r="CV40" s="67"/>
      <c r="CW40" s="67"/>
    </row>
    <row r="41" spans="1:101" ht="3.75" customHeight="1">
      <c r="A41" s="97"/>
      <c r="B41" s="67"/>
      <c r="C41" s="67"/>
      <c r="D41" s="67"/>
      <c r="E41" s="67"/>
      <c r="F41" s="67"/>
      <c r="G41" s="68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68"/>
      <c r="S41" s="68"/>
      <c r="T41" s="68"/>
      <c r="U41" s="68"/>
      <c r="V41" s="68"/>
      <c r="W41" s="86"/>
      <c r="X41" s="68"/>
      <c r="Y41" s="68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5"/>
      <c r="AK41" s="84"/>
      <c r="AL41" s="100"/>
      <c r="AM41" s="9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96"/>
      <c r="AY41" s="96"/>
      <c r="AZ41" s="98"/>
      <c r="BA41" s="71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74"/>
      <c r="BO41" s="73"/>
      <c r="BP41" s="73"/>
      <c r="BQ41" s="73"/>
      <c r="BR41" s="73"/>
      <c r="BS41" s="73"/>
      <c r="CF41" s="75"/>
      <c r="CG41" s="74"/>
      <c r="CH41" s="74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67"/>
      <c r="CT41" s="67"/>
      <c r="CU41" s="67"/>
      <c r="CV41" s="67"/>
      <c r="CW41" s="67"/>
    </row>
    <row r="42" spans="1:101" ht="3.75" customHeight="1">
      <c r="A42" s="80"/>
      <c r="B42" s="80"/>
      <c r="C42" s="80"/>
      <c r="D42" s="88"/>
      <c r="E42" s="88"/>
      <c r="F42" s="88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87"/>
      <c r="W42" s="87"/>
      <c r="X42" s="68"/>
      <c r="Y42" s="68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5"/>
      <c r="AK42" s="84"/>
      <c r="AL42" s="100"/>
      <c r="AM42" s="9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96"/>
      <c r="AY42" s="96"/>
      <c r="AZ42" s="98"/>
      <c r="BA42" s="6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74"/>
      <c r="BO42" s="73"/>
      <c r="BP42" s="73"/>
      <c r="BQ42" s="73"/>
      <c r="BR42" s="73"/>
      <c r="BS42" s="73"/>
      <c r="CF42" s="75"/>
      <c r="CG42" s="74"/>
      <c r="CH42" s="74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67"/>
      <c r="CT42" s="67"/>
      <c r="CU42" s="67"/>
      <c r="CV42" s="67"/>
      <c r="CW42" s="67"/>
    </row>
    <row r="43" spans="1:101" ht="3.75" customHeight="1">
      <c r="A43" s="80"/>
      <c r="B43" s="80"/>
      <c r="C43" s="80"/>
      <c r="D43" s="88"/>
      <c r="E43" s="88"/>
      <c r="F43" s="88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87"/>
      <c r="W43" s="87"/>
      <c r="X43" s="68"/>
      <c r="Y43" s="68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5"/>
      <c r="AK43" s="84"/>
      <c r="AL43" s="100"/>
      <c r="AM43" s="9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96"/>
      <c r="AY43" s="96"/>
      <c r="AZ43" s="98"/>
      <c r="BA43" s="68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68"/>
      <c r="BN43" s="74"/>
      <c r="BO43" s="73"/>
      <c r="BP43" s="73"/>
      <c r="BQ43" s="73"/>
      <c r="BR43" s="73"/>
      <c r="BS43" s="73"/>
      <c r="CF43" s="75"/>
      <c r="CG43" s="74"/>
      <c r="CH43" s="74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67"/>
      <c r="CT43" s="67"/>
      <c r="CU43" s="67"/>
      <c r="CV43" s="67"/>
      <c r="CW43" s="67"/>
    </row>
    <row r="44" spans="1:101" ht="3.75" customHeight="1">
      <c r="A44" s="80"/>
      <c r="B44" s="80"/>
      <c r="C44" s="80"/>
      <c r="D44" s="88"/>
      <c r="E44" s="88"/>
      <c r="F44" s="88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87"/>
      <c r="W44" s="87"/>
      <c r="X44" s="70"/>
      <c r="Y44" s="68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5"/>
      <c r="AK44" s="84"/>
      <c r="AL44" s="100"/>
      <c r="AM44" s="9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96"/>
      <c r="AY44" s="96"/>
      <c r="AZ44" s="98"/>
      <c r="BA44" s="68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69"/>
      <c r="CF44" s="75"/>
      <c r="CG44" s="74"/>
      <c r="CH44" s="74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67"/>
      <c r="CT44" s="67"/>
      <c r="CU44" s="67"/>
      <c r="CV44" s="67"/>
      <c r="CW44" s="67"/>
    </row>
    <row r="45" spans="1:101" ht="3.75" customHeight="1">
      <c r="A45" s="80"/>
      <c r="B45" s="80"/>
      <c r="C45" s="80"/>
      <c r="D45" s="88"/>
      <c r="E45" s="88"/>
      <c r="F45" s="88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71" t="s">
        <v>93</v>
      </c>
      <c r="W45" s="271"/>
      <c r="X45" s="271"/>
      <c r="Y45" s="271"/>
      <c r="Z45" s="271" t="str">
        <f>'BC4'!B25</f>
        <v>Róbert Ďurkovič</v>
      </c>
      <c r="AA45" s="271"/>
      <c r="AB45" s="271"/>
      <c r="AC45" s="271"/>
      <c r="AD45" s="271"/>
      <c r="AE45" s="271"/>
      <c r="AF45" s="271"/>
      <c r="AG45" s="271"/>
      <c r="AH45" s="271"/>
      <c r="AI45" s="271"/>
      <c r="AJ45" s="258">
        <v>3</v>
      </c>
      <c r="AK45" s="258"/>
      <c r="AL45" s="100"/>
      <c r="AM45" s="9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96"/>
      <c r="AY45" s="96"/>
      <c r="AZ45" s="98"/>
      <c r="BA45" s="68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CF45" s="75"/>
      <c r="CG45" s="74"/>
      <c r="CH45" s="74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67"/>
      <c r="CT45" s="67"/>
      <c r="CU45" s="67"/>
      <c r="CV45" s="67"/>
      <c r="CW45" s="67"/>
    </row>
    <row r="46" spans="1:101" ht="3.75" customHeight="1">
      <c r="A46" s="97"/>
      <c r="B46" s="67"/>
      <c r="C46" s="67"/>
      <c r="D46" s="67"/>
      <c r="E46" s="67"/>
      <c r="F46" s="67"/>
      <c r="G46" s="68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68"/>
      <c r="S46" s="68"/>
      <c r="T46" s="68"/>
      <c r="U46" s="68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58"/>
      <c r="AK46" s="258"/>
      <c r="AL46" s="100"/>
      <c r="AM46" s="9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96"/>
      <c r="AY46" s="96"/>
      <c r="AZ46" s="98"/>
      <c r="BA46" s="68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CF46" s="75"/>
      <c r="CG46" s="74"/>
      <c r="CH46" s="74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67"/>
      <c r="CT46" s="67"/>
      <c r="CU46" s="67"/>
      <c r="CV46" s="67"/>
      <c r="CW46" s="67"/>
    </row>
    <row r="47" spans="1:101" ht="3.75" customHeight="1">
      <c r="A47" s="97"/>
      <c r="B47" s="67"/>
      <c r="C47" s="67"/>
      <c r="D47" s="67"/>
      <c r="E47" s="67"/>
      <c r="F47" s="67"/>
      <c r="G47" s="68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68"/>
      <c r="S47" s="68"/>
      <c r="T47" s="68"/>
      <c r="U47" s="68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58"/>
      <c r="AK47" s="258"/>
      <c r="AL47" s="269"/>
      <c r="AM47" s="82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96"/>
      <c r="AY47" s="96"/>
      <c r="AZ47" s="78"/>
      <c r="BA47" s="68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CF47" s="75"/>
      <c r="CG47" s="74"/>
      <c r="CH47" s="74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67"/>
      <c r="CT47" s="67"/>
      <c r="CU47" s="67"/>
      <c r="CV47" s="67"/>
      <c r="CW47" s="67"/>
    </row>
    <row r="48" spans="1:101" ht="3.75" customHeight="1">
      <c r="A48" s="80"/>
      <c r="B48" s="80"/>
      <c r="C48" s="80"/>
      <c r="D48" s="88"/>
      <c r="E48" s="88"/>
      <c r="F48" s="88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58"/>
      <c r="AK48" s="258"/>
      <c r="AL48" s="269"/>
      <c r="AM48" s="82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96"/>
      <c r="AY48" s="96"/>
      <c r="AZ48" s="78"/>
      <c r="BA48" s="68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CF48" s="75"/>
      <c r="CG48" s="74"/>
      <c r="CH48" s="74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67"/>
      <c r="CT48" s="67"/>
      <c r="CU48" s="67"/>
      <c r="CV48" s="67"/>
      <c r="CW48" s="67"/>
    </row>
    <row r="49" spans="1:101" ht="3.75" customHeight="1">
      <c r="A49" s="80"/>
      <c r="B49" s="80"/>
      <c r="C49" s="80"/>
      <c r="D49" s="88"/>
      <c r="E49" s="88"/>
      <c r="F49" s="88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87"/>
      <c r="W49" s="87"/>
      <c r="X49" s="70"/>
      <c r="Y49" s="68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5"/>
      <c r="AK49" s="84"/>
      <c r="AL49" s="269"/>
      <c r="AM49" s="82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4"/>
      <c r="AY49" s="94"/>
      <c r="AZ49" s="78"/>
      <c r="BA49" s="68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CF49" s="75"/>
      <c r="CG49" s="74"/>
      <c r="CH49" s="74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67"/>
      <c r="CT49" s="67"/>
      <c r="CU49" s="67"/>
      <c r="CV49" s="67"/>
      <c r="CW49" s="67"/>
    </row>
    <row r="50" spans="1:101" ht="3.75" customHeight="1">
      <c r="A50" s="80"/>
      <c r="B50" s="80"/>
      <c r="C50" s="80"/>
      <c r="D50" s="88"/>
      <c r="E50" s="88"/>
      <c r="F50" s="88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87"/>
      <c r="W50" s="87"/>
      <c r="X50" s="68"/>
      <c r="Y50" s="68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5"/>
      <c r="AK50" s="84"/>
      <c r="AL50" s="78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93"/>
      <c r="AY50" s="92"/>
      <c r="AZ50" s="257"/>
      <c r="BA50" s="68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CF50" s="75"/>
      <c r="CG50" s="74"/>
      <c r="CH50" s="74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67"/>
      <c r="CT50" s="67"/>
      <c r="CU50" s="67"/>
      <c r="CV50" s="67"/>
      <c r="CW50" s="67"/>
    </row>
    <row r="51" spans="1:101" ht="3.75" customHeight="1">
      <c r="A51" s="80"/>
      <c r="B51" s="80"/>
      <c r="C51" s="80"/>
      <c r="D51" s="88"/>
      <c r="E51" s="88"/>
      <c r="F51" s="88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87"/>
      <c r="W51" s="87"/>
      <c r="X51" s="68"/>
      <c r="Y51" s="68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5"/>
      <c r="AK51" s="84"/>
      <c r="AL51" s="78"/>
      <c r="AM51" s="82"/>
      <c r="AN51" s="255" t="s">
        <v>95</v>
      </c>
      <c r="AO51" s="255" t="str">
        <f>Z57</f>
        <v>Martin Strehársky</v>
      </c>
      <c r="AP51" s="255"/>
      <c r="AQ51" s="255"/>
      <c r="AR51" s="255"/>
      <c r="AS51" s="255"/>
      <c r="AT51" s="255"/>
      <c r="AU51" s="255"/>
      <c r="AV51" s="255"/>
      <c r="AW51" s="255"/>
      <c r="AX51" s="298">
        <v>1</v>
      </c>
      <c r="AY51" s="270"/>
      <c r="AZ51" s="257"/>
      <c r="BA51" s="68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CF51" s="75"/>
      <c r="CG51" s="74"/>
      <c r="CH51" s="74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67"/>
      <c r="CT51" s="67"/>
      <c r="CU51" s="67"/>
      <c r="CV51" s="67"/>
      <c r="CW51" s="67"/>
    </row>
    <row r="52" spans="1:101" ht="3.75" customHeight="1">
      <c r="A52" s="67"/>
      <c r="B52" s="67"/>
      <c r="C52" s="67"/>
      <c r="D52" s="67"/>
      <c r="E52" s="67"/>
      <c r="F52" s="67"/>
      <c r="G52" s="68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68"/>
      <c r="S52" s="68"/>
      <c r="T52" s="68"/>
      <c r="U52" s="68"/>
      <c r="V52" s="68"/>
      <c r="W52" s="86"/>
      <c r="X52" s="68"/>
      <c r="Y52" s="68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5"/>
      <c r="AK52" s="84"/>
      <c r="AL52" s="78"/>
      <c r="AM52" s="82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98"/>
      <c r="AY52" s="270"/>
      <c r="AZ52" s="257"/>
      <c r="BA52" s="68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CF52" s="75"/>
      <c r="CG52" s="74"/>
      <c r="CH52" s="74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67"/>
      <c r="CT52" s="67"/>
      <c r="CU52" s="67"/>
      <c r="CV52" s="67"/>
      <c r="CW52" s="67"/>
    </row>
    <row r="53" spans="1:101" ht="3.75" customHeight="1">
      <c r="A53" s="67"/>
      <c r="B53" s="67"/>
      <c r="C53" s="67"/>
      <c r="D53" s="67"/>
      <c r="E53" s="67"/>
      <c r="F53" s="67"/>
      <c r="G53" s="68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68"/>
      <c r="S53" s="68"/>
      <c r="T53" s="68"/>
      <c r="U53" s="68"/>
      <c r="V53" s="68"/>
      <c r="W53" s="86"/>
      <c r="X53" s="68"/>
      <c r="Y53" s="68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5"/>
      <c r="AK53" s="84"/>
      <c r="AL53" s="78"/>
      <c r="AM53" s="71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98"/>
      <c r="AY53" s="270"/>
      <c r="AZ53" s="82"/>
      <c r="BA53" s="68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CF53" s="75"/>
      <c r="CG53" s="74"/>
      <c r="CH53" s="74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67"/>
      <c r="CT53" s="67"/>
      <c r="CU53" s="67"/>
      <c r="CV53" s="67"/>
      <c r="CW53" s="67"/>
    </row>
    <row r="54" spans="1:101" ht="3.75" customHeight="1">
      <c r="A54" s="67"/>
      <c r="B54" s="80"/>
      <c r="C54" s="80"/>
      <c r="D54" s="88"/>
      <c r="E54" s="88"/>
      <c r="F54" s="88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87"/>
      <c r="W54" s="87"/>
      <c r="X54" s="68"/>
      <c r="Y54" s="68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5"/>
      <c r="AK54" s="84"/>
      <c r="AL54" s="78"/>
      <c r="AM54" s="82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98"/>
      <c r="AY54" s="270"/>
      <c r="AZ54" s="82"/>
      <c r="BA54" s="68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CF54" s="75"/>
      <c r="CG54" s="74"/>
      <c r="CH54" s="74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67"/>
      <c r="CT54" s="67"/>
      <c r="CU54" s="67"/>
      <c r="CV54" s="67"/>
      <c r="CW54" s="67"/>
    </row>
    <row r="55" spans="1:101" ht="3.75" customHeight="1">
      <c r="A55" s="67"/>
      <c r="B55" s="80"/>
      <c r="C55" s="80"/>
      <c r="D55" s="88"/>
      <c r="E55" s="88"/>
      <c r="F55" s="88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87"/>
      <c r="W55" s="87"/>
      <c r="X55" s="68"/>
      <c r="Y55" s="68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5"/>
      <c r="AK55" s="84"/>
      <c r="AL55" s="78"/>
      <c r="AM55" s="82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4"/>
      <c r="AZ55" s="82"/>
      <c r="BA55" s="68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CF55" s="79"/>
      <c r="CG55" s="74"/>
      <c r="CH55" s="74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67"/>
      <c r="CT55" s="67"/>
      <c r="CU55" s="67"/>
      <c r="CV55" s="67"/>
      <c r="CW55" s="67"/>
    </row>
    <row r="56" spans="1:101" ht="3.75" customHeight="1">
      <c r="A56" s="67"/>
      <c r="B56" s="80"/>
      <c r="C56" s="80"/>
      <c r="D56" s="88"/>
      <c r="E56" s="88"/>
      <c r="F56" s="88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87"/>
      <c r="W56" s="87"/>
      <c r="X56" s="70"/>
      <c r="Y56" s="68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5"/>
      <c r="AK56" s="84"/>
      <c r="AL56" s="257"/>
      <c r="AM56" s="82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4"/>
      <c r="AZ56" s="82"/>
      <c r="BA56" s="68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CD56" s="80"/>
      <c r="CE56" s="73"/>
      <c r="CF56" s="79"/>
      <c r="CG56" s="74"/>
      <c r="CH56" s="74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67"/>
      <c r="CT56" s="67"/>
      <c r="CU56" s="67"/>
      <c r="CV56" s="67"/>
      <c r="CW56" s="67"/>
    </row>
    <row r="57" spans="1:101" ht="3.75" customHeight="1">
      <c r="A57" s="67"/>
      <c r="B57" s="80"/>
      <c r="C57" s="80"/>
      <c r="D57" s="88"/>
      <c r="E57" s="88"/>
      <c r="F57" s="88"/>
      <c r="G57" s="70"/>
      <c r="H57" s="70"/>
      <c r="I57" s="70"/>
      <c r="J57" s="70"/>
      <c r="K57" s="70"/>
      <c r="L57" s="70"/>
      <c r="M57" s="70"/>
      <c r="N57" s="67"/>
      <c r="O57" s="70"/>
      <c r="P57" s="70"/>
      <c r="Q57" s="70"/>
      <c r="R57" s="70"/>
      <c r="S57" s="70"/>
      <c r="T57" s="106"/>
      <c r="U57" s="300" t="s">
        <v>99</v>
      </c>
      <c r="V57" s="255"/>
      <c r="W57" s="255"/>
      <c r="X57" s="255"/>
      <c r="Y57" s="255"/>
      <c r="Z57" s="299" t="str">
        <f>'BC4'!B12</f>
        <v>Martin Strehársky</v>
      </c>
      <c r="AA57" s="271"/>
      <c r="AB57" s="271"/>
      <c r="AC57" s="271"/>
      <c r="AD57" s="271"/>
      <c r="AE57" s="271"/>
      <c r="AF57" s="271"/>
      <c r="AG57" s="271"/>
      <c r="AH57" s="271"/>
      <c r="AI57" s="271"/>
      <c r="AJ57" s="258">
        <v>4</v>
      </c>
      <c r="AK57" s="258"/>
      <c r="AL57" s="257"/>
      <c r="AM57" s="82"/>
      <c r="AN57" s="272" t="s">
        <v>45</v>
      </c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4"/>
      <c r="AZ57" s="68"/>
      <c r="BA57" s="68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CD57" s="80"/>
      <c r="CE57" s="73"/>
      <c r="CF57" s="79"/>
      <c r="CG57" s="74"/>
      <c r="CH57" s="74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67"/>
      <c r="CT57" s="67"/>
      <c r="CU57" s="67"/>
      <c r="CV57" s="67"/>
      <c r="CW57" s="67"/>
    </row>
    <row r="58" spans="1:101" ht="3.75" customHeight="1">
      <c r="A58" s="67"/>
      <c r="B58" s="67"/>
      <c r="C58" s="67"/>
      <c r="D58" s="67"/>
      <c r="E58" s="67"/>
      <c r="F58" s="67"/>
      <c r="G58" s="68"/>
      <c r="H58" s="83"/>
      <c r="I58" s="83"/>
      <c r="J58" s="83"/>
      <c r="K58" s="83"/>
      <c r="L58" s="83"/>
      <c r="M58" s="83"/>
      <c r="N58" s="70"/>
      <c r="O58" s="70"/>
      <c r="P58" s="70"/>
      <c r="Q58" s="70"/>
      <c r="R58" s="70"/>
      <c r="S58" s="70"/>
      <c r="T58" s="106"/>
      <c r="U58" s="300"/>
      <c r="V58" s="255"/>
      <c r="W58" s="255"/>
      <c r="X58" s="255"/>
      <c r="Y58" s="255"/>
      <c r="Z58" s="299"/>
      <c r="AA58" s="271"/>
      <c r="AB58" s="271"/>
      <c r="AC58" s="271"/>
      <c r="AD58" s="271"/>
      <c r="AE58" s="271"/>
      <c r="AF58" s="271"/>
      <c r="AG58" s="271"/>
      <c r="AH58" s="271"/>
      <c r="AI58" s="271"/>
      <c r="AJ58" s="258"/>
      <c r="AK58" s="258"/>
      <c r="AL58" s="257"/>
      <c r="AM58" s="82"/>
      <c r="AN58" s="275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7"/>
      <c r="AZ58" s="91"/>
      <c r="BA58" s="91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CD58" s="80"/>
      <c r="CE58" s="73"/>
      <c r="CF58" s="79"/>
      <c r="CG58" s="74"/>
      <c r="CH58" s="74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67"/>
      <c r="CT58" s="67"/>
      <c r="CU58" s="67"/>
      <c r="CV58" s="67"/>
      <c r="CW58" s="67"/>
    </row>
    <row r="59" spans="1:101" ht="3.75" customHeight="1">
      <c r="A59" s="67"/>
      <c r="B59" s="67"/>
      <c r="C59" s="67"/>
      <c r="D59" s="67"/>
      <c r="E59" s="67"/>
      <c r="F59" s="67"/>
      <c r="G59" s="68"/>
      <c r="H59" s="83"/>
      <c r="I59" s="83"/>
      <c r="J59" s="83"/>
      <c r="K59" s="83"/>
      <c r="L59" s="83"/>
      <c r="M59" s="83"/>
      <c r="N59" s="70"/>
      <c r="O59" s="70"/>
      <c r="P59" s="70"/>
      <c r="Q59" s="70"/>
      <c r="R59" s="70"/>
      <c r="S59" s="70"/>
      <c r="T59" s="106"/>
      <c r="U59" s="300"/>
      <c r="V59" s="255"/>
      <c r="W59" s="255"/>
      <c r="X59" s="255"/>
      <c r="Y59" s="255"/>
      <c r="Z59" s="299"/>
      <c r="AA59" s="271"/>
      <c r="AB59" s="271"/>
      <c r="AC59" s="271"/>
      <c r="AD59" s="271"/>
      <c r="AE59" s="271"/>
      <c r="AF59" s="271"/>
      <c r="AG59" s="271"/>
      <c r="AH59" s="271"/>
      <c r="AI59" s="271"/>
      <c r="AJ59" s="258"/>
      <c r="AK59" s="258"/>
      <c r="AL59" s="82"/>
      <c r="AM59" s="82"/>
      <c r="AN59" s="275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7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CD59" s="74"/>
      <c r="CE59" s="74"/>
      <c r="CF59" s="75"/>
      <c r="CG59" s="74"/>
      <c r="CH59" s="74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67"/>
      <c r="CT59" s="67"/>
      <c r="CU59" s="67"/>
      <c r="CV59" s="67"/>
      <c r="CW59" s="67"/>
    </row>
    <row r="60" spans="1:101" ht="3.75" customHeight="1">
      <c r="A60" s="67"/>
      <c r="B60" s="80"/>
      <c r="C60" s="80"/>
      <c r="D60" s="88"/>
      <c r="E60" s="88"/>
      <c r="F60" s="88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106"/>
      <c r="U60" s="300"/>
      <c r="V60" s="255"/>
      <c r="W60" s="255"/>
      <c r="X60" s="255"/>
      <c r="Y60" s="255"/>
      <c r="Z60" s="299"/>
      <c r="AA60" s="271"/>
      <c r="AB60" s="271"/>
      <c r="AC60" s="271"/>
      <c r="AD60" s="271"/>
      <c r="AE60" s="271"/>
      <c r="AF60" s="271"/>
      <c r="AG60" s="271"/>
      <c r="AH60" s="271"/>
      <c r="AI60" s="271"/>
      <c r="AJ60" s="258"/>
      <c r="AK60" s="258"/>
      <c r="AL60" s="82"/>
      <c r="AM60" s="89"/>
      <c r="AN60" s="275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7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CD60" s="74"/>
      <c r="CE60" s="74"/>
      <c r="CF60" s="75"/>
      <c r="CG60" s="74"/>
      <c r="CH60" s="74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67"/>
      <c r="CT60" s="67"/>
      <c r="CU60" s="67"/>
      <c r="CV60" s="67"/>
      <c r="CW60" s="67"/>
    </row>
    <row r="61" spans="1:101" ht="3.75" customHeight="1">
      <c r="A61" s="67"/>
      <c r="B61" s="80"/>
      <c r="C61" s="80"/>
      <c r="D61" s="88"/>
      <c r="E61" s="88"/>
      <c r="F61" s="88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87"/>
      <c r="W61" s="87"/>
      <c r="X61" s="70"/>
      <c r="Y61" s="68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4"/>
      <c r="AL61" s="82"/>
      <c r="AM61" s="82"/>
      <c r="AN61" s="275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7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CD61" s="74"/>
      <c r="CE61" s="74"/>
      <c r="CF61" s="75"/>
      <c r="CG61" s="74"/>
      <c r="CH61" s="74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67"/>
      <c r="CT61" s="67"/>
      <c r="CU61" s="67"/>
      <c r="CV61" s="67"/>
      <c r="CW61" s="67"/>
    </row>
    <row r="62" spans="1:101" ht="3.75" customHeight="1">
      <c r="A62" s="67"/>
      <c r="B62" s="80"/>
      <c r="C62" s="80"/>
      <c r="D62" s="88"/>
      <c r="E62" s="88"/>
      <c r="F62" s="88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87"/>
      <c r="W62" s="87"/>
      <c r="X62" s="68"/>
      <c r="Y62" s="68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4"/>
      <c r="AL62" s="82"/>
      <c r="AM62" s="82"/>
      <c r="AN62" s="275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7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CD62" s="74"/>
      <c r="CE62" s="74"/>
      <c r="CF62" s="75"/>
      <c r="CG62" s="74"/>
      <c r="CH62" s="74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67"/>
      <c r="CT62" s="67"/>
      <c r="CU62" s="67"/>
      <c r="CV62" s="67"/>
      <c r="CW62" s="67"/>
    </row>
    <row r="63" spans="1:101" ht="3.75" customHeight="1">
      <c r="A63" s="67"/>
      <c r="B63" s="80"/>
      <c r="C63" s="80"/>
      <c r="D63" s="88"/>
      <c r="E63" s="88"/>
      <c r="F63" s="88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87"/>
      <c r="W63" s="87"/>
      <c r="X63" s="68"/>
      <c r="Y63" s="68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4"/>
      <c r="AL63" s="82"/>
      <c r="AM63" s="82"/>
      <c r="AN63" s="275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7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CD63" s="74"/>
      <c r="CE63" s="74"/>
      <c r="CF63" s="75"/>
      <c r="CG63" s="74"/>
      <c r="CH63" s="74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67"/>
      <c r="CT63" s="67"/>
      <c r="CU63" s="67"/>
      <c r="CV63" s="67"/>
      <c r="CW63" s="67"/>
    </row>
    <row r="64" spans="1:101" ht="3.75" customHeight="1">
      <c r="A64" s="67"/>
      <c r="B64" s="67"/>
      <c r="C64" s="67"/>
      <c r="D64" s="67"/>
      <c r="E64" s="67"/>
      <c r="F64" s="67"/>
      <c r="G64" s="68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68"/>
      <c r="S64" s="68"/>
      <c r="T64" s="68"/>
      <c r="U64" s="68"/>
      <c r="V64" s="68"/>
      <c r="W64" s="86"/>
      <c r="X64" s="68"/>
      <c r="Y64" s="68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4"/>
      <c r="AL64" s="82"/>
      <c r="AM64" s="82"/>
      <c r="AN64" s="275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7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5"/>
      <c r="CG64" s="74"/>
      <c r="CH64" s="74"/>
      <c r="CI64" s="73"/>
      <c r="CJ64" s="73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</row>
    <row r="65" spans="7:101" ht="3.75" customHeight="1">
      <c r="G65" s="82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68"/>
      <c r="S65" s="68"/>
      <c r="T65" s="68"/>
      <c r="U65" s="68"/>
      <c r="V65" s="68"/>
      <c r="W65" s="84"/>
      <c r="X65" s="82"/>
      <c r="Y65" s="82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4"/>
      <c r="AL65" s="82"/>
      <c r="AM65" s="82"/>
      <c r="AN65" s="275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7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5"/>
      <c r="CG65" s="74"/>
      <c r="CH65" s="74"/>
      <c r="CI65" s="73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</row>
    <row r="66" spans="7:101" ht="3.75" customHeight="1">
      <c r="G66" s="70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8"/>
      <c r="AM66" s="82"/>
      <c r="AN66" s="275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7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5"/>
      <c r="CG66" s="74"/>
      <c r="CH66" s="74"/>
      <c r="CI66" s="73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</row>
    <row r="67" spans="7:101" ht="3.75" customHeight="1">
      <c r="G67" s="70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8"/>
      <c r="AM67" s="82"/>
      <c r="AN67" s="275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7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5"/>
      <c r="CG67" s="74"/>
      <c r="CH67" s="74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</row>
    <row r="68" spans="7:101" ht="3.75" customHeight="1">
      <c r="G68" s="70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8"/>
      <c r="AM68" s="82"/>
      <c r="AN68" s="278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80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5"/>
      <c r="CG68" s="74"/>
      <c r="CH68" s="74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</row>
    <row r="69" spans="7:101" ht="3.75" customHeight="1">
      <c r="G69" s="70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259" t="s">
        <v>86</v>
      </c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5"/>
      <c r="CG69" s="74"/>
      <c r="CH69" s="74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</row>
    <row r="70" spans="7:101" ht="3.75" customHeight="1">
      <c r="G70" s="82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83"/>
      <c r="AK70" s="69"/>
      <c r="AL70" s="69"/>
      <c r="AM70" s="6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5"/>
      <c r="CG70" s="74"/>
      <c r="CH70" s="74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</row>
    <row r="71" spans="7:101" ht="3.75" customHeight="1">
      <c r="G71" s="82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83"/>
      <c r="AK71" s="69"/>
      <c r="AL71" s="69"/>
      <c r="AM71" s="6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5"/>
      <c r="CG71" s="74"/>
      <c r="CH71" s="74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</row>
    <row r="72" spans="7:101" ht="3.75" customHeight="1">
      <c r="G72" s="70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83"/>
      <c r="AK72" s="69"/>
      <c r="AL72" s="69"/>
      <c r="AM72" s="6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5"/>
      <c r="CG72" s="74"/>
      <c r="CH72" s="74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</row>
    <row r="73" spans="2:101" ht="3.75" customHeight="1">
      <c r="B73" s="255" t="s">
        <v>97</v>
      </c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 t="str">
        <f>Z33</f>
        <v>Silvia Petruchová</v>
      </c>
      <c r="O73" s="255"/>
      <c r="P73" s="255"/>
      <c r="Q73" s="255"/>
      <c r="R73" s="255"/>
      <c r="S73" s="255"/>
      <c r="T73" s="255"/>
      <c r="U73" s="255"/>
      <c r="V73" s="281">
        <v>1</v>
      </c>
      <c r="W73" s="258"/>
      <c r="X73" s="82"/>
      <c r="Y73" s="82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83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70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5"/>
      <c r="CG73" s="74"/>
      <c r="CH73" s="74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</row>
    <row r="74" spans="2:101" ht="3.75" customHeight="1"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81"/>
      <c r="W74" s="258"/>
      <c r="X74" s="81"/>
      <c r="Y74" s="68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83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70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5"/>
      <c r="CG74" s="74"/>
      <c r="CH74" s="74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</row>
    <row r="75" spans="2:101" ht="3.75" customHeight="1"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81"/>
      <c r="W75" s="258"/>
      <c r="X75" s="269"/>
      <c r="Y75" s="68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83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253"/>
      <c r="AV75" s="253"/>
      <c r="AW75" s="253"/>
      <c r="AX75" s="253"/>
      <c r="AY75" s="253"/>
      <c r="AZ75" s="253"/>
      <c r="BA75" s="253"/>
      <c r="BB75" s="253"/>
      <c r="BC75" s="253"/>
      <c r="BD75" s="253"/>
      <c r="BE75" s="253"/>
      <c r="BF75" s="253"/>
      <c r="BG75" s="253"/>
      <c r="BH75" s="253"/>
      <c r="BI75" s="253"/>
      <c r="BJ75" s="253"/>
      <c r="BK75" s="253"/>
      <c r="BL75" s="253"/>
      <c r="BM75" s="25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5"/>
      <c r="CG75" s="74"/>
      <c r="CH75" s="74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</row>
    <row r="76" spans="2:101" ht="3.75" customHeight="1"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81"/>
      <c r="W76" s="258"/>
      <c r="X76" s="269"/>
      <c r="Y76" s="68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8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5"/>
      <c r="CG76" s="74"/>
      <c r="CH76" s="74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</row>
    <row r="77" spans="7:101" ht="3.75" customHeight="1">
      <c r="G77" s="82"/>
      <c r="H77" s="69"/>
      <c r="I77" s="69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269"/>
      <c r="Y77" s="68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68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253"/>
      <c r="AV77" s="253"/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5"/>
      <c r="CG77" s="74"/>
      <c r="CH77" s="74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</row>
    <row r="78" spans="7:101" ht="3.75" customHeight="1">
      <c r="G78" s="70"/>
      <c r="H78" s="69"/>
      <c r="I78" s="69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78"/>
      <c r="Y78" s="68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68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5"/>
      <c r="CG78" s="80"/>
      <c r="CH78" s="74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</row>
    <row r="79" spans="7:101" ht="3.75" customHeight="1">
      <c r="G79" s="70"/>
      <c r="H79" s="254" t="s">
        <v>85</v>
      </c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69"/>
      <c r="W79" s="69"/>
      <c r="X79" s="78"/>
      <c r="Y79" s="68"/>
      <c r="Z79" s="255" t="str">
        <f>N85</f>
        <v>Róbert Ďurkovič</v>
      </c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77"/>
      <c r="AV79" s="77"/>
      <c r="AW79" s="77"/>
      <c r="AX79" s="77"/>
      <c r="AY79" s="77"/>
      <c r="AZ79" s="77"/>
      <c r="BA79" s="77"/>
      <c r="BB79" s="77"/>
      <c r="BC79" s="77"/>
      <c r="BD79" s="82"/>
      <c r="BE79" s="82"/>
      <c r="BF79" s="82"/>
      <c r="BG79" s="82"/>
      <c r="BH79" s="82"/>
      <c r="BI79" s="68"/>
      <c r="BJ79" s="69"/>
      <c r="BK79" s="69"/>
      <c r="BL79" s="69"/>
      <c r="BM79" s="69"/>
      <c r="BZ79" s="80"/>
      <c r="CA79" s="80"/>
      <c r="CB79" s="80"/>
      <c r="CC79" s="80"/>
      <c r="CD79" s="80"/>
      <c r="CE79" s="79"/>
      <c r="CF79" s="79"/>
      <c r="CG79" s="80"/>
      <c r="CH79" s="74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</row>
    <row r="80" spans="7:101" ht="3.75" customHeight="1">
      <c r="G80" s="70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69"/>
      <c r="W80" s="69"/>
      <c r="X80" s="78"/>
      <c r="Y80" s="81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  <c r="BH80" s="256"/>
      <c r="BI80" s="256"/>
      <c r="BJ80" s="256"/>
      <c r="BK80" s="256"/>
      <c r="BL80" s="256"/>
      <c r="BM80" s="256"/>
      <c r="BZ80" s="80"/>
      <c r="CA80" s="80"/>
      <c r="CB80" s="80"/>
      <c r="CC80" s="80"/>
      <c r="CD80" s="80"/>
      <c r="CE80" s="79"/>
      <c r="CF80" s="79"/>
      <c r="CG80" s="80"/>
      <c r="CH80" s="74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</row>
    <row r="81" spans="7:101" ht="3.75" customHeight="1">
      <c r="G81" s="70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69"/>
      <c r="W81" s="69"/>
      <c r="X81" s="78"/>
      <c r="Y81" s="68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56"/>
      <c r="BJ81" s="256"/>
      <c r="BK81" s="256"/>
      <c r="BL81" s="256"/>
      <c r="BM81" s="256"/>
      <c r="BZ81" s="80"/>
      <c r="CA81" s="80"/>
      <c r="CB81" s="80"/>
      <c r="CC81" s="80"/>
      <c r="CD81" s="80"/>
      <c r="CE81" s="79"/>
      <c r="CF81" s="79"/>
      <c r="CG81" s="74"/>
      <c r="CH81" s="74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67"/>
      <c r="CT81" s="67"/>
      <c r="CU81" s="67"/>
      <c r="CV81" s="67"/>
      <c r="CW81" s="67"/>
    </row>
    <row r="82" spans="7:101" ht="3.75" customHeight="1">
      <c r="G82" s="70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69"/>
      <c r="W82" s="69"/>
      <c r="X82" s="78"/>
      <c r="Y82" s="68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256"/>
      <c r="BJ82" s="256"/>
      <c r="BK82" s="256"/>
      <c r="BL82" s="256"/>
      <c r="BM82" s="256"/>
      <c r="CF82" s="79"/>
      <c r="CG82" s="74"/>
      <c r="CH82" s="74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67"/>
      <c r="CT82" s="67"/>
      <c r="CU82" s="67"/>
      <c r="CV82" s="67"/>
      <c r="CW82" s="67"/>
    </row>
    <row r="83" spans="7:101" ht="3.75" customHeight="1">
      <c r="G83" s="70"/>
      <c r="H83" s="69"/>
      <c r="I83" s="69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7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  <c r="BH83" s="256"/>
      <c r="BI83" s="256"/>
      <c r="BJ83" s="256"/>
      <c r="BK83" s="256"/>
      <c r="BL83" s="256"/>
      <c r="BM83" s="256"/>
      <c r="CF83" s="75"/>
      <c r="CG83" s="74"/>
      <c r="CH83" s="74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67"/>
      <c r="CT83" s="67"/>
      <c r="CU83" s="67"/>
      <c r="CV83" s="67"/>
      <c r="CW83" s="67"/>
    </row>
    <row r="84" spans="7:101" ht="3.75" customHeight="1">
      <c r="G84" s="70"/>
      <c r="H84" s="69"/>
      <c r="I84" s="69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257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77"/>
      <c r="AV84" s="77"/>
      <c r="AW84" s="77"/>
      <c r="AX84" s="77"/>
      <c r="AY84" s="77"/>
      <c r="AZ84" s="76"/>
      <c r="BA84" s="76"/>
      <c r="BB84" s="76"/>
      <c r="BC84" s="76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CF84" s="75"/>
      <c r="CG84" s="74"/>
      <c r="CH84" s="74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67"/>
      <c r="CT84" s="67"/>
      <c r="CU84" s="67"/>
      <c r="CV84" s="67"/>
      <c r="CW84" s="67"/>
    </row>
    <row r="85" spans="2:101" ht="3.75" customHeight="1">
      <c r="B85" s="255" t="s">
        <v>98</v>
      </c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 t="str">
        <f>Z45</f>
        <v>Róbert Ďurkovič</v>
      </c>
      <c r="O85" s="255"/>
      <c r="P85" s="255"/>
      <c r="Q85" s="255"/>
      <c r="R85" s="255"/>
      <c r="S85" s="255"/>
      <c r="T85" s="255"/>
      <c r="U85" s="255"/>
      <c r="V85" s="281">
        <v>9</v>
      </c>
      <c r="W85" s="258"/>
      <c r="X85" s="257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256"/>
      <c r="AV85" s="256"/>
      <c r="AW85" s="256"/>
      <c r="AX85" s="256"/>
      <c r="AY85" s="256"/>
      <c r="AZ85" s="256"/>
      <c r="BA85" s="256"/>
      <c r="BB85" s="256"/>
      <c r="BC85" s="256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</row>
    <row r="86" spans="2:101" ht="3.75" customHeight="1"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81"/>
      <c r="W86" s="258"/>
      <c r="X86" s="257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256"/>
      <c r="AV86" s="256"/>
      <c r="AW86" s="256"/>
      <c r="AX86" s="256"/>
      <c r="AY86" s="256"/>
      <c r="AZ86" s="256"/>
      <c r="BA86" s="256"/>
      <c r="BB86" s="256"/>
      <c r="BC86" s="256"/>
      <c r="BD86" s="252"/>
      <c r="BE86" s="252"/>
      <c r="BF86" s="252"/>
      <c r="BG86" s="252"/>
      <c r="BH86" s="252"/>
      <c r="BI86" s="252"/>
      <c r="BJ86" s="252"/>
      <c r="BK86" s="252"/>
      <c r="BL86" s="252"/>
      <c r="BM86" s="252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</row>
    <row r="87" spans="2:101" ht="3.75" customHeight="1"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81"/>
      <c r="W87" s="258"/>
      <c r="X87" s="71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256"/>
      <c r="AV87" s="256"/>
      <c r="AW87" s="256"/>
      <c r="AX87" s="256"/>
      <c r="AY87" s="256"/>
      <c r="AZ87" s="256"/>
      <c r="BA87" s="256"/>
      <c r="BB87" s="256"/>
      <c r="BC87" s="256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</row>
    <row r="88" spans="2:101" ht="3.75" customHeight="1"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81"/>
      <c r="W88" s="258"/>
      <c r="X88" s="68"/>
      <c r="Y88" s="68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256"/>
      <c r="AV88" s="256"/>
      <c r="AW88" s="256"/>
      <c r="AX88" s="256"/>
      <c r="AY88" s="256"/>
      <c r="AZ88" s="256"/>
      <c r="BA88" s="256"/>
      <c r="BB88" s="256"/>
      <c r="BC88" s="256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</row>
  </sheetData>
  <sheetProtection selectLockedCells="1" selectUnlockedCells="1"/>
  <mergeCells count="52">
    <mergeCell ref="AN9:AY24"/>
    <mergeCell ref="BB14:BC17"/>
    <mergeCell ref="BD14:BM17"/>
    <mergeCell ref="BB19:BC22"/>
    <mergeCell ref="BD19:BM22"/>
    <mergeCell ref="V21:Y24"/>
    <mergeCell ref="Z21:AI24"/>
    <mergeCell ref="AJ21:AK24"/>
    <mergeCell ref="AZ29:AZ31"/>
    <mergeCell ref="N85:U88"/>
    <mergeCell ref="AL32:AL34"/>
    <mergeCell ref="V33:Y36"/>
    <mergeCell ref="Z33:AI36"/>
    <mergeCell ref="AJ33:AK36"/>
    <mergeCell ref="U57:Y60"/>
    <mergeCell ref="AL56:AL58"/>
    <mergeCell ref="X84:X86"/>
    <mergeCell ref="V85:W88"/>
    <mergeCell ref="BB39:BM42"/>
    <mergeCell ref="V45:Y48"/>
    <mergeCell ref="Z45:AI48"/>
    <mergeCell ref="AJ45:AK48"/>
    <mergeCell ref="AL47:AL49"/>
    <mergeCell ref="AZ50:AZ52"/>
    <mergeCell ref="AX51:AY54"/>
    <mergeCell ref="AU85:BC88"/>
    <mergeCell ref="BD85:BM88"/>
    <mergeCell ref="B85:M88"/>
    <mergeCell ref="Z57:AI60"/>
    <mergeCell ref="AJ57:AK60"/>
    <mergeCell ref="AN57:AY68"/>
    <mergeCell ref="H79:U82"/>
    <mergeCell ref="Z79:AJ82"/>
    <mergeCell ref="B73:M76"/>
    <mergeCell ref="N73:U76"/>
    <mergeCell ref="AN69:AY72"/>
    <mergeCell ref="V73:W76"/>
    <mergeCell ref="X75:X77"/>
    <mergeCell ref="BD80:BM83"/>
    <mergeCell ref="AU80:BC83"/>
    <mergeCell ref="AU75:BC78"/>
    <mergeCell ref="BD75:BM78"/>
    <mergeCell ref="B3:I6"/>
    <mergeCell ref="J3:BM6"/>
    <mergeCell ref="AN27:AN30"/>
    <mergeCell ref="AO27:AW30"/>
    <mergeCell ref="AN51:AN54"/>
    <mergeCell ref="AO51:AW54"/>
    <mergeCell ref="AL23:AL25"/>
    <mergeCell ref="BB24:BC27"/>
    <mergeCell ref="BD24:BM27"/>
    <mergeCell ref="AX27:AY30"/>
  </mergeCells>
  <printOptions/>
  <pageMargins left="0.75" right="0.75" top="1" bottom="1" header="0.5118055555555555" footer="0.5118055555555555"/>
  <pageSetup horizontalDpi="300" verticalDpi="300" orientation="landscape" paperSize="9" scale="10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D18">
      <selection activeCell="O30" sqref="O30"/>
    </sheetView>
  </sheetViews>
  <sheetFormatPr defaultColWidth="9.140625" defaultRowHeight="15"/>
  <cols>
    <col min="1" max="1" width="26.28125" style="55" customWidth="1"/>
    <col min="2" max="8" width="21.7109375" style="0" customWidth="1"/>
  </cols>
  <sheetData>
    <row r="1" spans="1:8" s="51" customFormat="1" ht="19.5" customHeight="1">
      <c r="A1" s="312" t="s">
        <v>81</v>
      </c>
      <c r="B1" s="313"/>
      <c r="C1" s="313"/>
      <c r="D1" s="313"/>
      <c r="E1" s="313"/>
      <c r="F1" s="313"/>
      <c r="G1" s="313"/>
      <c r="H1" s="314"/>
    </row>
    <row r="2" spans="1:8" s="51" customFormat="1" ht="19.5" customHeight="1">
      <c r="A2" s="315"/>
      <c r="B2" s="316"/>
      <c r="C2" s="316"/>
      <c r="D2" s="316"/>
      <c r="E2" s="316"/>
      <c r="F2" s="316"/>
      <c r="G2" s="316"/>
      <c r="H2" s="317"/>
    </row>
    <row r="3" spans="1:8" s="51" customFormat="1" ht="21.75" customHeight="1" thickBot="1">
      <c r="A3" s="318"/>
      <c r="B3" s="319"/>
      <c r="C3" s="319"/>
      <c r="D3" s="319"/>
      <c r="E3" s="319"/>
      <c r="F3" s="319"/>
      <c r="G3" s="319"/>
      <c r="H3" s="320"/>
    </row>
    <row r="4" spans="1:8" s="51" customFormat="1" ht="19.5" customHeight="1" thickBot="1">
      <c r="A4" s="321" t="s">
        <v>73</v>
      </c>
      <c r="B4" s="322"/>
      <c r="C4" s="322"/>
      <c r="D4" s="322"/>
      <c r="E4" s="322"/>
      <c r="F4" s="322"/>
      <c r="G4" s="322"/>
      <c r="H4" s="323"/>
    </row>
    <row r="5" spans="1:8" s="51" customFormat="1" ht="19.5" customHeight="1" thickBot="1">
      <c r="A5" s="118" t="s">
        <v>74</v>
      </c>
      <c r="B5" s="119" t="s">
        <v>75</v>
      </c>
      <c r="C5" s="118" t="s">
        <v>76</v>
      </c>
      <c r="D5" s="120" t="s">
        <v>77</v>
      </c>
      <c r="E5" s="118" t="s">
        <v>78</v>
      </c>
      <c r="F5" s="118" t="s">
        <v>82</v>
      </c>
      <c r="G5" s="120" t="s">
        <v>83</v>
      </c>
      <c r="H5" s="118" t="s">
        <v>84</v>
      </c>
    </row>
    <row r="6" spans="1:8" ht="15.75">
      <c r="A6" s="326" t="s">
        <v>101</v>
      </c>
      <c r="B6" s="326"/>
      <c r="C6" s="326"/>
      <c r="D6" s="326"/>
      <c r="E6" s="326"/>
      <c r="F6" s="326"/>
      <c r="G6" s="326"/>
      <c r="H6" s="326"/>
    </row>
    <row r="7" spans="1:8" s="51" customFormat="1" ht="19.5" customHeight="1" thickBot="1">
      <c r="A7" s="62"/>
      <c r="B7" s="63"/>
      <c r="C7" s="63"/>
      <c r="D7" s="63"/>
      <c r="E7" s="63"/>
      <c r="F7" s="63"/>
      <c r="G7" s="63"/>
      <c r="H7" s="63"/>
    </row>
    <row r="8" spans="1:8" ht="15.75" customHeight="1">
      <c r="A8" s="310">
        <v>0.375</v>
      </c>
      <c r="B8" s="129" t="str">
        <f>CONCATENATE('BC1'!$A11,"   ",T('BC1'!$B11:$B11))</f>
        <v>101   Lukáš Baláži</v>
      </c>
      <c r="C8" s="129" t="str">
        <f>CONCATENATE('BC1'!$A13,"   ",T('BC1'!$B13:$B13))</f>
        <v>103   Alexander Chudík</v>
      </c>
      <c r="D8" s="122" t="str">
        <f>CONCATENATE('BC2'!A11,"   ",T('BC2'!B11))</f>
        <v>205   Tomáš Král</v>
      </c>
      <c r="E8" s="122" t="str">
        <f>CONCATENATE('BC2'!A17,"   ",T('BC2'!B17))</f>
        <v>204   Róbert Mezík</v>
      </c>
      <c r="F8" s="125" t="str">
        <f>CONCATENATE('BC3'!$A11,"   ",T('BC3'!$B11:$B11))</f>
        <v>305   Ľuba Škvarnová</v>
      </c>
      <c r="G8" s="125" t="str">
        <f>CONCATENATE('BC3'!$A17,"   ",T('BC3'!$B17:$B17))</f>
        <v>304   Adam Burianek</v>
      </c>
      <c r="H8" s="135" t="str">
        <f>CONCATENATE('BC4'!$A11,"   ",T('BC4'!$B11:$B11))</f>
        <v>403   Samuel Andrejčík</v>
      </c>
    </row>
    <row r="9" spans="1:8" ht="15.75" thickBot="1">
      <c r="A9" s="325"/>
      <c r="B9" s="129" t="str">
        <f>CONCATENATE('BC1'!$A12,"   ",T('BC1'!$B12:$B12))</f>
        <v>102   Jakub Nagy</v>
      </c>
      <c r="C9" s="129" t="str">
        <f>CONCATENATE('BC1'!$A14,"   ",T('BC1'!$B14:$B14))</f>
        <v>104   Martin Benčat</v>
      </c>
      <c r="D9" s="122" t="str">
        <f>CONCATENATE('BC2'!A12,"   ",T('BC2'!B12))</f>
        <v>206   Dušan Sotoniak</v>
      </c>
      <c r="E9" s="122" t="str">
        <f>CONCATENATE('BC2'!A18,"   ",T('BC2'!B18))</f>
        <v>201   Martin Opát </v>
      </c>
      <c r="F9" s="125" t="str">
        <f>CONCATENATE('BC3'!$A12,"   ",T('BC3'!$B12:$B12))</f>
        <v>302   Boris Klohna</v>
      </c>
      <c r="G9" s="125" t="str">
        <f>CONCATENATE('BC3'!$A18,"   ",T('BC3'!$B18:$B18))</f>
        <v>303   Michal Tižo </v>
      </c>
      <c r="H9" s="135" t="str">
        <f>CONCATENATE('BC4'!$A12,"   ",T('BC4'!$B12:$B12))</f>
        <v>407   Martin Strehársky</v>
      </c>
    </row>
    <row r="10" spans="1:8" ht="15.75" thickBot="1">
      <c r="A10" s="52" t="s">
        <v>79</v>
      </c>
      <c r="B10" s="186" t="s">
        <v>129</v>
      </c>
      <c r="C10" s="186" t="s">
        <v>130</v>
      </c>
      <c r="D10" s="186" t="s">
        <v>131</v>
      </c>
      <c r="E10" s="186" t="s">
        <v>132</v>
      </c>
      <c r="F10" s="186" t="s">
        <v>133</v>
      </c>
      <c r="G10" s="186" t="s">
        <v>134</v>
      </c>
      <c r="H10" s="186" t="s">
        <v>135</v>
      </c>
    </row>
    <row r="11" spans="1:8" ht="15.75" customHeight="1">
      <c r="A11" s="310">
        <v>0.4166666666666667</v>
      </c>
      <c r="B11" s="129" t="str">
        <f>CONCATENATE('BC1'!$A11,"   ",T('BC1'!$B11:$B11))</f>
        <v>101   Lukáš Baláži</v>
      </c>
      <c r="C11" s="129" t="str">
        <f>CONCATENATE('BC1'!$A12,"   ",T('BC1'!$B12:$B12))</f>
        <v>102   Jakub Nagy</v>
      </c>
      <c r="D11" s="122" t="str">
        <f>CONCATENATE('BC2'!A11,"   ",T('BC2'!B11))</f>
        <v>205   Tomáš Král</v>
      </c>
      <c r="E11" s="122" t="str">
        <f>CONCATENATE('BC2'!A17,"   ",'BC2'!B17)</f>
        <v>204   Róbert Mezík</v>
      </c>
      <c r="F11" s="135" t="str">
        <f>CONCATENATE('BC4'!$A13,"   ",T('BC4'!$B13:$B13))</f>
        <v>401   Marián Klimčo</v>
      </c>
      <c r="G11" s="135" t="str">
        <f>CONCATENATE('BC4'!$A18,"   ",T('BC4'!$B18:$B18))</f>
        <v>404   Michaela Balcová</v>
      </c>
      <c r="H11" s="135" t="str">
        <f>CONCATENATE('BC4'!$A25,"   ",T('BC4'!$B25:$B25))</f>
        <v>405   Róbert Ďurkovič</v>
      </c>
    </row>
    <row r="12" spans="1:8" ht="15.75" thickBot="1">
      <c r="A12" s="325"/>
      <c r="B12" s="129" t="str">
        <f>CONCATENATE('BC1'!$A13,"   ",T('BC1'!$B13:$B13))</f>
        <v>103   Alexander Chudík</v>
      </c>
      <c r="C12" s="129" t="str">
        <f>CONCATENATE('BC1'!$A14,"   ",T('BC1'!$B14:$B14))</f>
        <v>104   Martin Benčat</v>
      </c>
      <c r="D12" s="122" t="str">
        <f>CONCATENATE('BC2'!A13,"   ",T('BC2'!B13))</f>
        <v>202   Rastislav Kurilák</v>
      </c>
      <c r="E12" s="122" t="str">
        <f>CONCATENATE('BC2'!A19,"   ",T('BC2'!B19))</f>
        <v>203   Peter Novota</v>
      </c>
      <c r="F12" s="135" t="str">
        <f>CONCATENATE('BC4'!$A14,"   ",T('BC4'!$B14:$B14))</f>
        <v>408   Miroslav Prášil</v>
      </c>
      <c r="G12" s="135" t="str">
        <f>CONCATENATE('BC4'!$A19,"   ",T('BC4'!$B19:$B19))</f>
        <v>409   Silvia Petruchová</v>
      </c>
      <c r="H12" s="135" t="str">
        <f>CONCATENATE('BC4'!$A26,"   ",T('BC4'!$B26:$B26))</f>
        <v>402   Anna Mihová </v>
      </c>
    </row>
    <row r="13" spans="1:8" ht="15.75" thickBot="1">
      <c r="A13" s="52" t="s">
        <v>79</v>
      </c>
      <c r="B13" s="186" t="s">
        <v>136</v>
      </c>
      <c r="C13" s="186" t="s">
        <v>130</v>
      </c>
      <c r="D13" s="186" t="s">
        <v>135</v>
      </c>
      <c r="E13" s="186" t="s">
        <v>131</v>
      </c>
      <c r="F13" s="186" t="s">
        <v>137</v>
      </c>
      <c r="G13" s="186" t="s">
        <v>132</v>
      </c>
      <c r="H13" s="186" t="s">
        <v>133</v>
      </c>
    </row>
    <row r="14" spans="1:8" ht="15.75" customHeight="1">
      <c r="A14" s="310">
        <v>0.4583333333333333</v>
      </c>
      <c r="B14" s="135" t="str">
        <f>CONCATENATE('BC4'!$A12,"   ",T('BC4'!$B12:$B12))</f>
        <v>407   Martin Strehársky</v>
      </c>
      <c r="C14" s="135" t="str">
        <f>CONCATENATE('BC4'!$A19,"   ",T('BC4'!$B19:$B19))</f>
        <v>409   Silvia Petruchová</v>
      </c>
      <c r="D14" s="135" t="str">
        <f>CONCATENATE('BC4'!$A25,"   ",T('BC4'!$B25:$B25))</f>
        <v>405   Róbert Ďurkovič</v>
      </c>
      <c r="E14" s="135" t="str">
        <f>CONCATENATE('BC4'!A18,"   ",T('BC4'!B18))</f>
        <v>404   Michaela Balcová</v>
      </c>
      <c r="F14" s="135" t="str">
        <f>CONCATENATE('BC4'!$A11,"   ",T('BC4'!$B11))</f>
        <v>403   Samuel Andrejčík</v>
      </c>
      <c r="G14" s="125" t="str">
        <f>CONCATENATE('BC3'!$A11,"   ",T('BC3'!$B11))</f>
        <v>305   Ľuba Škvarnová</v>
      </c>
      <c r="H14" s="125" t="str">
        <f>CONCATENATE('BC3'!$A17,"   ",T('BC3'!$B17))</f>
        <v>304   Adam Burianek</v>
      </c>
    </row>
    <row r="15" spans="1:8" ht="15.75" thickBot="1">
      <c r="A15" s="325"/>
      <c r="B15" s="135" t="str">
        <f>CONCATENATE('BC4'!$A14,"   ",T('BC4'!$B14:$B14))</f>
        <v>408   Miroslav Prášil</v>
      </c>
      <c r="C15" s="135" t="str">
        <f>CONCATENATE('BC4'!$A21,"   ",T('BC4'!$B21:$B21))</f>
        <v>410   Natália Turčínová </v>
      </c>
      <c r="D15" s="135" t="str">
        <f>CONCATENATE('BC4'!$A27,"   ",T('BC4'!$B27:$B27))</f>
        <v>411   Martin Rybarčák</v>
      </c>
      <c r="E15" s="135" t="str">
        <f>CONCATENATE('BC4'!$A20,"   ",T('BC4'!$B20:$B20))</f>
        <v>406   Martin Burian</v>
      </c>
      <c r="F15" s="135" t="str">
        <f>CONCATENATE('BC4'!$A13,"   ",T('BC4'!$B13))</f>
        <v>401   Marián Klimčo</v>
      </c>
      <c r="G15" s="125" t="str">
        <f>CONCATENATE('BC3'!$A13,"   ",T('BC3'!$B13))</f>
        <v>306   František Fábry</v>
      </c>
      <c r="H15" s="125" t="str">
        <f>CONCATENATE('BC3'!$A19,"   ",T('BC3'!$B19))</f>
        <v>301   Marián Košťál</v>
      </c>
    </row>
    <row r="16" spans="1:8" ht="15.75" thickBot="1">
      <c r="A16" s="52" t="s">
        <v>79</v>
      </c>
      <c r="B16" s="186" t="s">
        <v>136</v>
      </c>
      <c r="C16" s="186" t="s">
        <v>130</v>
      </c>
      <c r="D16" s="186" t="s">
        <v>137</v>
      </c>
      <c r="E16" s="186" t="s">
        <v>132</v>
      </c>
      <c r="F16" s="186" t="s">
        <v>135</v>
      </c>
      <c r="G16" s="186" t="s">
        <v>133</v>
      </c>
      <c r="H16" s="186" t="s">
        <v>134</v>
      </c>
    </row>
    <row r="17" spans="1:8" ht="15.75" customHeight="1">
      <c r="A17" s="310">
        <v>0.5</v>
      </c>
      <c r="B17" s="129" t="str">
        <f>CONCATENATE('BC1'!$A11,"   ",T('BC1'!$B11))</f>
        <v>101   Lukáš Baláži</v>
      </c>
      <c r="C17" s="122" t="str">
        <f>CONCATENATE('BC2'!A12,"   ",T('BC2'!B12))</f>
        <v>206   Dušan Sotoniak</v>
      </c>
      <c r="D17" s="122" t="str">
        <f>CONCATENATE('BC2'!A18,"   ",T('BC2'!B18))</f>
        <v>201   Martin Opát </v>
      </c>
      <c r="E17" s="135" t="str">
        <f>CONCATENATE('BC4'!$A19,"   ",T('BC4'!$B19))</f>
        <v>409   Silvia Petruchová</v>
      </c>
      <c r="F17" s="135" t="str">
        <f>CONCATENATE('BC4'!$A18,"   ",T('BC4'!$B18))</f>
        <v>404   Michaela Balcová</v>
      </c>
      <c r="G17" s="125" t="str">
        <f>CONCATENATE('BC3'!$A12,"   ",T('BC3'!$B12))</f>
        <v>302   Boris Klohna</v>
      </c>
      <c r="H17" s="125" t="str">
        <f>CONCATENATE('BC3'!$A18,"   ",T('BC3'!$B18))</f>
        <v>303   Michal Tižo </v>
      </c>
    </row>
    <row r="18" spans="1:8" ht="15.75" thickBot="1">
      <c r="A18" s="325"/>
      <c r="B18" s="129" t="str">
        <f>CONCATENATE('BC1'!$A14,"   ",T('BC1'!$B14))</f>
        <v>104   Martin Benčat</v>
      </c>
      <c r="C18" s="122" t="str">
        <f>CONCATENATE('BC2'!A13,"   ",T('BC2'!B13))</f>
        <v>202   Rastislav Kurilák</v>
      </c>
      <c r="D18" s="122" t="str">
        <f>CONCATENATE('BC2'!A19,"   ",T('BC2'!B19))</f>
        <v>203   Peter Novota</v>
      </c>
      <c r="E18" s="135" t="str">
        <f>CONCATENATE('BC4'!$A20,"   ",T('BC4'!$B20))</f>
        <v>406   Martin Burian</v>
      </c>
      <c r="F18" s="135" t="str">
        <f>CONCATENATE('BC4'!$A21,"   ",T('BC4'!$B21))</f>
        <v>410   Natália Turčínová </v>
      </c>
      <c r="G18" s="125" t="str">
        <f>CONCATENATE('BC3'!$A13,"   ",T('BC3'!$B13))</f>
        <v>306   František Fábry</v>
      </c>
      <c r="H18" s="125" t="str">
        <f>CONCATENATE('BC3'!$A19,"   ",T('BC3'!$B19))</f>
        <v>301   Marián Košťál</v>
      </c>
    </row>
    <row r="19" spans="1:8" ht="15">
      <c r="A19" s="52" t="s">
        <v>79</v>
      </c>
      <c r="B19" s="186" t="s">
        <v>132</v>
      </c>
      <c r="C19" s="186" t="s">
        <v>136</v>
      </c>
      <c r="D19" s="186" t="s">
        <v>137</v>
      </c>
      <c r="E19" s="186" t="s">
        <v>131</v>
      </c>
      <c r="F19" s="186" t="s">
        <v>138</v>
      </c>
      <c r="G19" s="186" t="s">
        <v>133</v>
      </c>
      <c r="H19" s="186" t="s">
        <v>134</v>
      </c>
    </row>
    <row r="20" spans="1:8" ht="15.75">
      <c r="A20" s="324" t="s">
        <v>102</v>
      </c>
      <c r="B20" s="324"/>
      <c r="C20" s="324"/>
      <c r="D20" s="324"/>
      <c r="E20" s="324"/>
      <c r="F20" s="324"/>
      <c r="G20" s="324"/>
      <c r="H20" s="324"/>
    </row>
    <row r="21" ht="16.5" thickBot="1">
      <c r="A21" s="53"/>
    </row>
    <row r="22" spans="1:8" ht="30" customHeight="1">
      <c r="A22" s="310">
        <v>0.5833333333333334</v>
      </c>
      <c r="B22" s="123" t="str">
        <f>CONCATENATE(T('BC2 pavuk'!$AN$57:$AY$68),"   ",T('BC2 pavuk'!$V$21:$Y$24),"   ",T('BC2 pavuk'!$Z$21:$AI$24))</f>
        <v>BC2   1. A   Dušan Sotoniak</v>
      </c>
      <c r="C22" s="123" t="str">
        <f>CONCATENATE(T('BC2 pavuk'!$AN$57:$AY$68),"   ",T('BC2 pavuk'!V45:Y48),"   ",T('BC2 pavuk'!Z45:AI48))</f>
        <v>BC2   1. B   Róbert Mezík</v>
      </c>
      <c r="D22" s="136" t="str">
        <f>CONCATENATE('BC4'!$A11,"   ",T('BC4'!$B11))</f>
        <v>403   Samuel Andrejčík</v>
      </c>
      <c r="E22" s="136" t="str">
        <f>CONCATENATE('BC4'!$A12,"   ",T('BC4'!$B12))</f>
        <v>407   Martin Strehársky</v>
      </c>
      <c r="F22" s="136" t="str">
        <f>CONCATENATE('BC4'!A20,"   ",T('BC4'!B20))</f>
        <v>406   Martin Burian</v>
      </c>
      <c r="G22" s="136" t="str">
        <f>CONCATENATE('BC4'!$A26,"   ",T('BC4'!$B26))</f>
        <v>402   Anna Mihová </v>
      </c>
      <c r="H22" s="143" t="str">
        <f>CONCATENATE('BC1'!$A12,"   ",T('BC1'!$B12))</f>
        <v>102   Jakub Nagy</v>
      </c>
    </row>
    <row r="23" spans="1:8" ht="30" customHeight="1" thickBot="1">
      <c r="A23" s="325"/>
      <c r="B23" s="123" t="str">
        <f>CONCATENATE(T('BC2 pavuk'!$AN$57:$AY$68),"   ",T('BC2 pavuk'!V33:Y36),"   ",T('BC2 pavuk'!Z33:AI36))</f>
        <v>BC2   2. B   Martin Opát </v>
      </c>
      <c r="C23" s="123" t="str">
        <f>CONCATENATE(T('BC2 pavuk'!$AN$57:$AY$68),"   ",T('BC2 pavuk'!V57:Y60),"   ",T('BC2 pavuk'!Z57:AI60))</f>
        <v>BC2   2. A   Tomáš Král</v>
      </c>
      <c r="D23" s="136" t="str">
        <f>CONCATENATE('BC4'!$A14,"   ",T('BC4'!$B14))</f>
        <v>408   Miroslav Prášil</v>
      </c>
      <c r="E23" s="136" t="str">
        <f>CONCATENATE('BC4'!$A13,"   ",T('BC4'!$B13))</f>
        <v>401   Marián Klimčo</v>
      </c>
      <c r="F23" s="136" t="str">
        <f>CONCATENATE('BC4'!$A21,"   ",T('BC4'!$B21))</f>
        <v>410   Natália Turčínová </v>
      </c>
      <c r="G23" s="136" t="str">
        <f>CONCATENATE('BC4'!$A27,"   ",T('BC4'!$B27))</f>
        <v>411   Martin Rybarčák</v>
      </c>
      <c r="H23" s="143" t="str">
        <f>CONCATENATE('BC1'!$A13,"   ",T('BC1'!$B13))</f>
        <v>103   Alexander Chudík</v>
      </c>
    </row>
    <row r="24" spans="1:8" ht="15.75" thickBot="1">
      <c r="A24" s="52" t="s">
        <v>79</v>
      </c>
      <c r="B24" s="186" t="s">
        <v>134</v>
      </c>
      <c r="C24" s="186" t="s">
        <v>132</v>
      </c>
      <c r="D24" s="186" t="s">
        <v>131</v>
      </c>
      <c r="E24" s="186" t="s">
        <v>135</v>
      </c>
      <c r="F24" s="186" t="s">
        <v>136</v>
      </c>
      <c r="G24" s="186" t="s">
        <v>137</v>
      </c>
      <c r="H24" s="186" t="s">
        <v>130</v>
      </c>
    </row>
    <row r="25" spans="1:8" ht="30" customHeight="1">
      <c r="A25" s="310">
        <v>0.625</v>
      </c>
      <c r="B25" s="107"/>
      <c r="C25" s="107"/>
      <c r="D25" s="137" t="str">
        <f>CONCATENATE(T('BC4 pavuk'!$AN$57:$AY$68),"   ",T('BC4 pavuk'!$V$21:$Y$24),"   ",T('BC4 pavuk'!$Z$21:$AI$24))</f>
        <v>BC4   1. A   Samuel Andrejčík</v>
      </c>
      <c r="E25" s="137" t="str">
        <f>CONCATENATE(T('BC4 pavuk'!$AN$57:$AY$68),"   ",T('BC4 pavuk'!$V$45:$Y$48),"   ",T('BC4 pavuk'!$Z$45:$AI$48))</f>
        <v>BC4   1. C   Róbert Ďurkovič</v>
      </c>
      <c r="F25" s="123" t="str">
        <f>CONCATENATE(T('BC2 pavuk'!$AN$57:$AY$68),"   ",T('BC2 pavuk'!B73:M76),"   ",T('BC2 pavuk'!N73:U76))</f>
        <v>BC2   Porazený 1.A - 2.B   Martin Opát </v>
      </c>
      <c r="G25" s="126" t="str">
        <f>CONCATENATE(T('BC3 pavuk'!$AN$57:$AY$68),"   ",T('BC3 pavuk'!$V$21:$Y$24),"   ",T('BC3 pavuk'!$Z$21:$AI$24))</f>
        <v>BC3   1. A   Boris Klohna</v>
      </c>
      <c r="H25" s="126" t="str">
        <f>CONCATENATE(T('BC3 pavuk'!$AN$57:$AY$68),"   ",T('BC3 pavuk'!$V$45:$Y$48),"   ",T('BC3 pavuk'!$Z$45:$AI$48))</f>
        <v>BC3   1. B   Michal Tižo </v>
      </c>
    </row>
    <row r="26" spans="1:8" ht="30" customHeight="1" thickBot="1">
      <c r="A26" s="325"/>
      <c r="B26" s="107"/>
      <c r="C26" s="107"/>
      <c r="D26" s="137" t="str">
        <f>CONCATENATE(T('BC4 pavuk'!$AN$57:$AY$68),"   ",T('BC4 pavuk'!$V$33:$Y$36),"   ",T('BC4 pavuk'!$Z$33:$AI$36))</f>
        <v>BC4   1. B   Silvia Petruchová</v>
      </c>
      <c r="E26" s="137" t="str">
        <f>CONCATENATE(T('BC4 pavuk'!$AN$57:$AY$68),"   ",T('BC4 pavuk'!$U$57:$Y$60),"   ",T('BC4 pavuk'!$Z$57:$AI$60))</f>
        <v>BC4   2. s naj. skóre   Martin Strehársky</v>
      </c>
      <c r="F26" s="123" t="str">
        <f>CONCATENATE(T('BC2 pavuk'!$AN$57:$AY$68),"   ",T('BC2 pavuk'!B85:M88),"   ",T('BC2 pavuk'!N85:U88))</f>
        <v>BC2   Porazený 2.A - 1.B   Tomáš Král</v>
      </c>
      <c r="G26" s="126" t="str">
        <f>CONCATENATE(T('BC3 pavuk'!$AN$57:$AY$68),"   ",T('BC3 pavuk'!V33:Y36),"   ",T('BC3 pavuk'!Z33:AI36))</f>
        <v>BC3   2. B   Marián Košťál</v>
      </c>
      <c r="H26" s="126" t="str">
        <f>CONCATENATE(T('BC3 pavuk'!$AN$57:$AY$68),"   ",T('BC3 pavuk'!$V$57:$Y$60),"   ",T('BC3 pavuk'!$Z$57:$AI$60))</f>
        <v>BC3   2. A   František Fábry</v>
      </c>
    </row>
    <row r="27" spans="1:8" ht="15.75" thickBot="1">
      <c r="A27" s="54" t="s">
        <v>79</v>
      </c>
      <c r="B27" s="114"/>
      <c r="C27" s="114"/>
      <c r="D27" s="337" t="s">
        <v>133</v>
      </c>
      <c r="E27" s="337" t="s">
        <v>136</v>
      </c>
      <c r="F27" s="186" t="s">
        <v>137</v>
      </c>
      <c r="G27" s="186" t="s">
        <v>134</v>
      </c>
      <c r="H27" s="186" t="s">
        <v>130</v>
      </c>
    </row>
    <row r="28" spans="1:8" ht="30" customHeight="1">
      <c r="A28" s="310">
        <v>0.6666666666666666</v>
      </c>
      <c r="B28" s="108"/>
      <c r="C28" s="108"/>
      <c r="D28" s="137" t="str">
        <f>CONCATENATE(T('BC4 pavuk'!$AN$57:$AY$68),"   ",T('BC4 pavuk'!AN27:AN30),"   ",T('BC4 pavuk'!AO27:AW30))</f>
        <v>BC4   1. Finalista   Samuel Andrejčík</v>
      </c>
      <c r="E28" s="137" t="str">
        <f>CONCATENATE(T('BC4 pavuk'!$AN$57:$AY$68),"   ",T('BC4 pavuk'!B73:M76),"   ",T('BC4 pavuk'!N73:U76))</f>
        <v>BC4   Porazený 1.A - 1.B   Silvia Petruchová</v>
      </c>
      <c r="F28" s="123" t="str">
        <f>CONCATENATE(T('BC2 pavuk'!$AN$57:$AY$68),"   ",T('BC2 pavuk'!AN27:AN30),"   ",T('BC2 pavuk'!AO27:AW30))</f>
        <v>BC2   1. Finalista   Dušan Sotoniak</v>
      </c>
      <c r="G28" s="126" t="str">
        <f>CONCATENATE(T('BC3 pavuk'!$AN$57:$AY$68),"   ",T('BC3 pavuk'!AN27:AN30),"   ",T('BC3 pavuk'!AO27:AW30))</f>
        <v>BC3   1. Finalista   Marián Košťál</v>
      </c>
      <c r="H28" s="126" t="str">
        <f>CONCATENATE(T('BC3 pavuk'!$AN$57:$AY$68),"   ",T('BC3 pavuk'!B73:M76),"   ",T('BC3 pavuk'!N73:U76))</f>
        <v>BC3   Porazený 1.A - 2.B   Boris Klohna</v>
      </c>
    </row>
    <row r="29" spans="1:8" ht="45" customHeight="1" thickBot="1">
      <c r="A29" s="311"/>
      <c r="B29" s="108"/>
      <c r="C29" s="108"/>
      <c r="D29" s="137" t="str">
        <f>CONCATENATE(T('BC4 pavuk'!$AN$57:$AY$68),"   ",T('BC4 pavuk'!AN51:AN54),"   ",T('BC4 pavuk'!AO51:AW54))</f>
        <v>BC4   2. Finalista   Martin Strehársky</v>
      </c>
      <c r="E29" s="137" t="str">
        <f>CONCATENATE(T('BC4 pavuk'!$AN$57:$AY$68),"   ",T('BC4 pavuk'!B85:M88),"   ",T('BC4 pavuk'!N85:U88))</f>
        <v>BC4   Porazený 1.C - 2. s naj. skóre   Róbert Ďurkovič</v>
      </c>
      <c r="F29" s="123" t="str">
        <f>CONCATENATE(T('BC2 pavuk'!$AN$57:$AY$68),"   ",T('BC2 pavuk'!AN51:AN54),"   ",T('BC2 pavuk'!AO51:AW54))</f>
        <v>BC2   2. Finalista   Róbert Mezík</v>
      </c>
      <c r="G29" s="126" t="str">
        <f>CONCATENATE(T('BC3 pavuk'!$AN$57:$AY$68),"   ",T('BC3 pavuk'!AN51:AN54),"   ",T('BC3 pavuk'!AO51:AW54))</f>
        <v>BC3   2. Finalista   Michal Tižo </v>
      </c>
      <c r="H29" s="126" t="str">
        <f>CONCATENATE(T('BC3 pavuk'!$AN$57:$AY$68),"   ",T('BC3 pavuk'!B85:M88),"   ",T('BC3 pavuk'!N85:U88))</f>
        <v>BC3   Porazený 2.A - 1.B   František Fábry</v>
      </c>
    </row>
    <row r="30" spans="1:8" ht="15">
      <c r="A30" s="121" t="s">
        <v>79</v>
      </c>
      <c r="B30" s="114"/>
      <c r="C30" s="114"/>
      <c r="D30" s="186" t="s">
        <v>132</v>
      </c>
      <c r="E30" s="186" t="s">
        <v>135</v>
      </c>
      <c r="F30" s="186" t="s">
        <v>131</v>
      </c>
      <c r="G30" s="186" t="s">
        <v>133</v>
      </c>
      <c r="H30" s="186" t="s">
        <v>134</v>
      </c>
    </row>
    <row r="31" spans="1:8" ht="15.75">
      <c r="A31" s="307" t="s">
        <v>128</v>
      </c>
      <c r="B31" s="308"/>
      <c r="C31" s="308"/>
      <c r="D31" s="308"/>
      <c r="E31" s="308"/>
      <c r="F31" s="308"/>
      <c r="G31" s="308"/>
      <c r="H31" s="309"/>
    </row>
    <row r="32" spans="1:8" s="113" customFormat="1" ht="7.5" customHeight="1" thickBot="1">
      <c r="A32" s="112"/>
      <c r="B32" s="112"/>
      <c r="C32" s="112"/>
      <c r="D32" s="112"/>
      <c r="E32" s="112"/>
      <c r="F32" s="112"/>
      <c r="G32" s="112"/>
      <c r="H32" s="112"/>
    </row>
    <row r="33" spans="1:8" ht="19.5" thickBot="1">
      <c r="A33" s="301" t="s">
        <v>80</v>
      </c>
      <c r="B33" s="185" t="s">
        <v>22</v>
      </c>
      <c r="C33" s="338" t="s">
        <v>23</v>
      </c>
      <c r="D33" s="304" t="s">
        <v>28</v>
      </c>
      <c r="E33" s="305"/>
      <c r="F33" s="304" t="s">
        <v>45</v>
      </c>
      <c r="G33" s="305"/>
      <c r="H33" s="306"/>
    </row>
    <row r="34" spans="1:8" ht="15.75">
      <c r="A34" s="302"/>
      <c r="B34" s="341" t="str">
        <f>CONCATENATE('zoznam hracov'!B8,"   ",T('zoznam hracov'!C8))</f>
        <v>101   Lukáš Baláži </v>
      </c>
      <c r="C34" s="339" t="str">
        <f>CONCATENATE('zoznam hracov'!B13,"   ",T('zoznam hracov'!C13))</f>
        <v>201   Martin Opát </v>
      </c>
      <c r="D34" s="115" t="s">
        <v>103</v>
      </c>
      <c r="E34" s="115" t="s">
        <v>104</v>
      </c>
      <c r="F34" s="116" t="s">
        <v>103</v>
      </c>
      <c r="G34" s="115" t="s">
        <v>104</v>
      </c>
      <c r="H34" s="116" t="s">
        <v>105</v>
      </c>
    </row>
    <row r="35" spans="1:8" ht="15">
      <c r="A35" s="302"/>
      <c r="B35" s="342" t="str">
        <f>CONCATENATE('zoznam hracov'!B9,"   ",T('zoznam hracov'!C9))</f>
        <v>102   Jakub Nagy</v>
      </c>
      <c r="C35" s="124" t="str">
        <f>CONCATENATE('zoznam hracov'!B14,"   ",T('zoznam hracov'!C14))</f>
        <v>202   Rastislav Kurilák</v>
      </c>
      <c r="D35" s="127" t="str">
        <f>IF('zoznam hracov'!$A$19="nevylosované","301   Hráč 1",CONCATENATE(VLOOKUP("A1",'zoznam hracov'!$A$20:$C$25,2,0),"   ",VLOOKUP("A1",'zoznam hracov'!$A$20:$C$25,3,0)))</f>
        <v>305   Ľuba Škvarnová</v>
      </c>
      <c r="E35" s="127" t="str">
        <f>IF('zoznam hracov'!$A$19="nevylosované","304   Hráč 4",CONCATENATE(VLOOKUP("B1",'zoznam hracov'!$A$20:$C$25,2,0),"   ",VLOOKUP("B1",'zoznam hracov'!$A$20:$C$25,3,0)))</f>
        <v>304   Adam Burianek</v>
      </c>
      <c r="F35" s="138" t="str">
        <f>IF('zoznam hracov'!$A$26="nevylosované","401   Hráč 1",CONCATENATE(VLOOKUP("A1",'zoznam hracov'!$A$27:$C$37,2,0),"   ",VLOOKUP("A1",'zoznam hracov'!$A$27:$C$37,3,0)))</f>
        <v>403   Samuel Andrejčík</v>
      </c>
      <c r="G35" s="139" t="str">
        <f>IF('zoznam hracov'!$A$26="nevylosované","405   Hráč 5",CONCATENATE(VLOOKUP("B1",'zoznam hracov'!$A$27:$C$37,2,0),"   ",VLOOKUP("B1",'zoznam hracov'!$A$27:$C$37,3,0)))</f>
        <v>404   Michaela Balcová</v>
      </c>
      <c r="H35" s="138" t="str">
        <f>IF('zoznam hracov'!$A$26="nevylosované","409   Hráč 9",CONCATENATE(VLOOKUP("C1",'zoznam hracov'!$A$27:$C$37,2,0),"   ",VLOOKUP("C1",'zoznam hracov'!$A$27:$C$37,3,0)))</f>
        <v>405   Róbert Ďurkovič</v>
      </c>
    </row>
    <row r="36" spans="1:8" ht="15">
      <c r="A36" s="302"/>
      <c r="B36" s="342" t="str">
        <f>CONCATENATE('zoznam hracov'!B10,"   ",T('zoznam hracov'!C10))</f>
        <v>103   Alexander Chudík</v>
      </c>
      <c r="C36" s="124" t="str">
        <f>CONCATENATE('zoznam hracov'!B15,"   ",T('zoznam hracov'!C15))</f>
        <v>203   Peter Novota</v>
      </c>
      <c r="D36" s="127" t="str">
        <f>IF('zoznam hracov'!$A$19="nevylosované","302   Hráč 2",CONCATENATE(VLOOKUP("A2",'zoznam hracov'!$A$20:$C$25,2,0),"   ",VLOOKUP("A2",'zoznam hracov'!$A$20:$C$25,3,0)))</f>
        <v>302   Boris Klohna</v>
      </c>
      <c r="E36" s="127" t="str">
        <f>IF('zoznam hracov'!$A$19="nevylosované","305   Hráč 5",CONCATENATE(VLOOKUP("B2",'zoznam hracov'!$A$20:$C$25,2,0),"   ",VLOOKUP("B2",'zoznam hracov'!$A$20:$C$25,3,0)))</f>
        <v>303   Michal Tižo </v>
      </c>
      <c r="F36" s="138" t="str">
        <f>IF('zoznam hracov'!$A$26="nevylosované","402   Hráč 2",CONCATENATE(VLOOKUP("A2",'zoznam hracov'!$A$27:$C$37,2,0),"   ",VLOOKUP("A2",'zoznam hracov'!$A$27:$C$37,3,0)))</f>
        <v>407   Martin Strehársky</v>
      </c>
      <c r="G36" s="139" t="str">
        <f>IF('zoznam hracov'!$A$26="nevylosované","406   Hráč 6",CONCATENATE(VLOOKUP("B2",'zoznam hracov'!$A$27:$C$37,2,0),"   ",VLOOKUP("B2",'zoznam hracov'!$A$27:$C$37,3,0)))</f>
        <v>409   Silvia Petruchová</v>
      </c>
      <c r="H36" s="138" t="str">
        <f>IF('zoznam hracov'!$A$26="nevylosované","410   Hráč 10",CONCATENATE(VLOOKUP("C2",'zoznam hracov'!$A$27:$C$37,2,0),"   ",VLOOKUP("C2",'zoznam hracov'!$A$27:$C$37,3,0)))</f>
        <v>402   Anna Mihová </v>
      </c>
    </row>
    <row r="37" spans="1:8" ht="15.75" thickBot="1">
      <c r="A37" s="303"/>
      <c r="B37" s="343" t="str">
        <f>CONCATENATE('zoznam hracov'!B11,"   ",T('zoznam hracov'!C11))</f>
        <v>104   Martin Benčat</v>
      </c>
      <c r="C37" s="124" t="str">
        <f>CONCATENATE('zoznam hracov'!B16,"   ",T('zoznam hracov'!C16))</f>
        <v>204   Róbert Mezík</v>
      </c>
      <c r="D37" s="128" t="str">
        <f>IF('zoznam hracov'!$A$19="nevylosované","303   Hráč 3",CONCATENATE(VLOOKUP("A3",'zoznam hracov'!$A$20:$C$25,2,0),"   ",VLOOKUP("A3",'zoznam hracov'!$A$20:$C$25,3,0)))</f>
        <v>306   František Fábry</v>
      </c>
      <c r="E37" s="128" t="str">
        <f>IF('zoznam hracov'!$A$19="nevylosované","306   Hráč 6",CONCATENATE(VLOOKUP("B3",'zoznam hracov'!$A$20:$C$25,2,0),"   ",VLOOKUP("B3",'zoznam hracov'!$A$20:$C$25,3,0)))</f>
        <v>301   Marián Košťál</v>
      </c>
      <c r="F37" s="138" t="str">
        <f>IF('zoznam hracov'!$A$26="nevylosované","403   Hráč 3",CONCATENATE(VLOOKUP("A3",'zoznam hracov'!$A$27:$C$37,2,0),"   ",VLOOKUP("A3",'zoznam hracov'!$A$27:$C$37,3,0)))</f>
        <v>401   Marián Klimčo</v>
      </c>
      <c r="G37" s="139" t="str">
        <f>IF('zoznam hracov'!$A$26="nevylosované","407   Hráč 7",CONCATENATE(VLOOKUP("B3",'zoznam hracov'!$A$27:$C$37,2,0),"   ",VLOOKUP("B3",'zoznam hracov'!$A$27:$C$37,3,0)))</f>
        <v>406   Martin Burian</v>
      </c>
      <c r="H37" s="142" t="str">
        <f>IF('zoznam hracov'!$A$26="nevylosované","411   Hráč 11",CONCATENATE(VLOOKUP("C3",'zoznam hracov'!$A$27:$C$37,2,0),"   ",VLOOKUP("C3",'zoznam hracov'!$A$27:$C$37,3,0)))</f>
        <v>411   Martin Rybarčák</v>
      </c>
    </row>
    <row r="38" spans="3:8" ht="15.75" thickBot="1">
      <c r="C38" s="124" t="str">
        <f>CONCATENATE('zoznam hracov'!B17,"   ",T('zoznam hracov'!C17))</f>
        <v>205   Tomáš Král</v>
      </c>
      <c r="D38" s="57"/>
      <c r="E38" s="57"/>
      <c r="F38" s="140" t="str">
        <f>IF('zoznam hracov'!$A$26="nevylosované","404   Hráč 4",CONCATENATE(VLOOKUP("A4",'zoznam hracov'!$A$27:$C$37,2,0),"   ",VLOOKUP("A4",'zoznam hracov'!$A$27:$C$37,3,0)))</f>
        <v>408   Miroslav Prášil</v>
      </c>
      <c r="G38" s="141" t="str">
        <f>IF('zoznam hracov'!$A$26="nevylosované","408   Hráč 8",CONCATENATE(VLOOKUP("B4",'zoznam hracov'!$A$27:$C$37,2,0),"   ",VLOOKUP("B4",'zoznam hracov'!$A$27:$C$37,3,0)))</f>
        <v>410   Natália Turčínová </v>
      </c>
      <c r="H38" s="117"/>
    </row>
    <row r="39" spans="1:3" ht="15.75" thickBot="1">
      <c r="A39" s="56"/>
      <c r="C39" s="340" t="str">
        <f>CONCATENATE('zoznam hracov'!B18,"   ",T('zoznam hracov'!C18))</f>
        <v>206   Dušan Sotoniak</v>
      </c>
    </row>
    <row r="40" ht="15">
      <c r="A40"/>
    </row>
    <row r="41" ht="15">
      <c r="A41"/>
    </row>
    <row r="42" ht="15">
      <c r="A42" s="58"/>
    </row>
    <row r="43" ht="15">
      <c r="A43" s="58"/>
    </row>
    <row r="51" ht="15">
      <c r="A51" s="59"/>
    </row>
    <row r="52" ht="15">
      <c r="A52" s="60"/>
    </row>
    <row r="53" ht="15">
      <c r="A53" s="60"/>
    </row>
    <row r="54" ht="15">
      <c r="A54" s="60"/>
    </row>
    <row r="55" ht="15">
      <c r="A55" s="58"/>
    </row>
    <row r="56" ht="15">
      <c r="A56" s="58"/>
    </row>
    <row r="57" ht="15">
      <c r="A57" s="58"/>
    </row>
    <row r="58" ht="15">
      <c r="A58" s="59"/>
    </row>
    <row r="59" ht="15">
      <c r="A59" s="59"/>
    </row>
    <row r="60" ht="15">
      <c r="A60" s="59"/>
    </row>
    <row r="61" ht="15">
      <c r="A61" s="59"/>
    </row>
  </sheetData>
  <sheetProtection/>
  <mergeCells count="15">
    <mergeCell ref="A17:A18"/>
    <mergeCell ref="A14:A15"/>
    <mergeCell ref="A11:A12"/>
    <mergeCell ref="A8:A9"/>
    <mergeCell ref="A6:H6"/>
    <mergeCell ref="A33:A37"/>
    <mergeCell ref="D33:E33"/>
    <mergeCell ref="F33:H33"/>
    <mergeCell ref="A31:H31"/>
    <mergeCell ref="A28:A29"/>
    <mergeCell ref="A1:H3"/>
    <mergeCell ref="A4:H4"/>
    <mergeCell ref="A20:H20"/>
    <mergeCell ref="A25:A26"/>
    <mergeCell ref="A22:A23"/>
  </mergeCells>
  <printOptions horizontalCentered="1"/>
  <pageMargins left="0.3937007874015748" right="0" top="0.3937007874015748" bottom="0" header="0" footer="0"/>
  <pageSetup horizontalDpi="600" verticalDpi="600" orientation="portrait" paperSize="9" r:id="rId2"/>
  <colBreaks count="2" manualBreakCount="2">
    <brk id="4" max="38" man="1"/>
    <brk id="8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Bandy</cp:lastModifiedBy>
  <cp:lastPrinted>2015-06-06T15:10:11Z</cp:lastPrinted>
  <dcterms:created xsi:type="dcterms:W3CDTF">2010-03-19T19:06:31Z</dcterms:created>
  <dcterms:modified xsi:type="dcterms:W3CDTF">2015-06-06T15:44:21Z</dcterms:modified>
  <cp:category/>
  <cp:version/>
  <cp:contentType/>
  <cp:contentStatus/>
</cp:coreProperties>
</file>